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e50a923266a6c89a030dbd57f0ade9ecd51ffc0f/49008056514/c1d3fa37-4e74-4c0d-a0e0-83f0062c23c8/"/>
    </mc:Choice>
  </mc:AlternateContent>
  <xr:revisionPtr revIDLastSave="0" documentId="13_ncr:1_{E24B1BC5-F54D-4926-9BF3-85609DA0D3DD}" xr6:coauthVersionLast="36" xr6:coauthVersionMax="36" xr10:uidLastSave="{00000000-0000-0000-0000-000000000000}"/>
  <bookViews>
    <workbookView xWindow="0" yWindow="0" windowWidth="19200" windowHeight="6345" xr2:uid="{00000000-000D-0000-FFFF-FFFF00000000}"/>
  </bookViews>
  <sheets>
    <sheet name="Eelarve" sheetId="2" r:id="rId1"/>
    <sheet name="Advokatuur" sheetId="5" state="hidden" r:id="rId2"/>
  </sheets>
  <definedNames>
    <definedName name="_xlnm._FilterDatabase" localSheetId="0" hidden="1">Eelarve!$A$57:$R$103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2" l="1"/>
  <c r="P16" i="2" l="1"/>
  <c r="P101" i="2" l="1"/>
  <c r="P87" i="2"/>
  <c r="P100" i="2"/>
  <c r="P90" i="2"/>
  <c r="R89" i="2"/>
  <c r="P66" i="2"/>
  <c r="K41" i="2"/>
  <c r="O41" i="2"/>
  <c r="R41" i="2"/>
  <c r="P38" i="2"/>
  <c r="R38" i="2"/>
  <c r="R17" i="2"/>
  <c r="P17" i="2"/>
  <c r="P12" i="2"/>
  <c r="P9" i="2"/>
  <c r="R7" i="2"/>
  <c r="R8" i="2"/>
  <c r="Q8" i="2"/>
  <c r="R10" i="2"/>
  <c r="R11" i="2"/>
  <c r="R12" i="2"/>
  <c r="R13" i="2"/>
  <c r="R14" i="2"/>
  <c r="R15" i="2"/>
  <c r="R16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4" i="2"/>
  <c r="R35" i="2"/>
  <c r="R36" i="2"/>
  <c r="R39" i="2"/>
  <c r="R40" i="2"/>
  <c r="R42" i="2"/>
  <c r="R43" i="2"/>
  <c r="R44" i="2"/>
  <c r="R45" i="2"/>
  <c r="R48" i="2"/>
  <c r="R49" i="2"/>
  <c r="R50" i="2"/>
  <c r="R51" i="2"/>
  <c r="R52" i="2"/>
  <c r="R53" i="2"/>
  <c r="R54" i="2"/>
  <c r="R55" i="2"/>
  <c r="R6" i="2"/>
  <c r="L38" i="2"/>
  <c r="O39" i="2"/>
  <c r="K73" i="2"/>
  <c r="O73" i="2"/>
  <c r="R73" i="2"/>
  <c r="O38" i="2"/>
  <c r="O26" i="2"/>
  <c r="O16" i="2"/>
  <c r="O9" i="2"/>
  <c r="R9" i="2"/>
  <c r="O10" i="2"/>
  <c r="O6" i="2"/>
  <c r="K9" i="2"/>
  <c r="K98" i="2"/>
  <c r="O98" i="2"/>
  <c r="R98" i="2"/>
  <c r="K95" i="2"/>
  <c r="O95" i="2"/>
  <c r="R95" i="2"/>
  <c r="L90" i="2"/>
  <c r="K91" i="2"/>
  <c r="O91" i="2"/>
  <c r="R91" i="2"/>
  <c r="K82" i="2"/>
  <c r="O82" i="2"/>
  <c r="R82" i="2"/>
  <c r="K75" i="2"/>
  <c r="O75" i="2"/>
  <c r="R75" i="2"/>
  <c r="K67" i="2"/>
  <c r="O67" i="2"/>
  <c r="R67" i="2"/>
  <c r="K59" i="2"/>
  <c r="O59" i="2"/>
  <c r="R59" i="2"/>
  <c r="K60" i="2"/>
  <c r="O60" i="2"/>
  <c r="R60" i="2"/>
  <c r="K61" i="2"/>
  <c r="O61" i="2"/>
  <c r="R61" i="2"/>
  <c r="K62" i="2"/>
  <c r="O62" i="2"/>
  <c r="R62" i="2"/>
  <c r="K63" i="2"/>
  <c r="O63" i="2"/>
  <c r="R63" i="2"/>
  <c r="K58" i="2"/>
  <c r="O58" i="2"/>
  <c r="R58" i="2"/>
  <c r="K49" i="2"/>
  <c r="O49" i="2"/>
  <c r="L42" i="2"/>
  <c r="L43" i="2"/>
  <c r="K43" i="2"/>
  <c r="O43" i="2"/>
  <c r="K38" i="2"/>
  <c r="K37" i="2"/>
  <c r="O37" i="2"/>
  <c r="R37" i="2"/>
  <c r="L6" i="2"/>
  <c r="I6" i="2"/>
  <c r="K88" i="2"/>
  <c r="O88" i="2"/>
  <c r="R88" i="2"/>
  <c r="K92" i="2"/>
  <c r="O92" i="2"/>
  <c r="R92" i="2"/>
  <c r="K93" i="2"/>
  <c r="O93" i="2"/>
  <c r="R93" i="2"/>
  <c r="K94" i="2"/>
  <c r="O94" i="2"/>
  <c r="R94" i="2"/>
  <c r="K96" i="2"/>
  <c r="O96" i="2"/>
  <c r="R96" i="2"/>
  <c r="K97" i="2"/>
  <c r="O97" i="2"/>
  <c r="R97" i="2"/>
  <c r="K99" i="2"/>
  <c r="O99" i="2"/>
  <c r="R99" i="2"/>
  <c r="K100" i="2"/>
  <c r="O100" i="2"/>
  <c r="R100" i="2"/>
  <c r="K101" i="2"/>
  <c r="O101" i="2"/>
  <c r="R101" i="2"/>
  <c r="K102" i="2"/>
  <c r="O102" i="2"/>
  <c r="R102" i="2"/>
  <c r="K103" i="2"/>
  <c r="O103" i="2"/>
  <c r="R103" i="2"/>
  <c r="K87" i="2"/>
  <c r="O87" i="2"/>
  <c r="R87" i="2"/>
  <c r="K64" i="2"/>
  <c r="O64" i="2"/>
  <c r="R64" i="2"/>
  <c r="K65" i="2"/>
  <c r="O65" i="2"/>
  <c r="R65" i="2"/>
  <c r="K66" i="2"/>
  <c r="O66" i="2"/>
  <c r="R66" i="2"/>
  <c r="K68" i="2"/>
  <c r="O68" i="2"/>
  <c r="R68" i="2"/>
  <c r="K69" i="2"/>
  <c r="O69" i="2"/>
  <c r="R69" i="2"/>
  <c r="K70" i="2"/>
  <c r="O70" i="2"/>
  <c r="R70" i="2"/>
  <c r="K71" i="2"/>
  <c r="O71" i="2"/>
  <c r="R71" i="2"/>
  <c r="K72" i="2"/>
  <c r="O72" i="2"/>
  <c r="R72" i="2"/>
  <c r="K74" i="2"/>
  <c r="O74" i="2"/>
  <c r="R74" i="2"/>
  <c r="K76" i="2"/>
  <c r="O76" i="2"/>
  <c r="R76" i="2"/>
  <c r="K77" i="2"/>
  <c r="O77" i="2"/>
  <c r="R77" i="2"/>
  <c r="K78" i="2"/>
  <c r="O78" i="2"/>
  <c r="R78" i="2"/>
  <c r="K79" i="2"/>
  <c r="O79" i="2"/>
  <c r="R79" i="2"/>
  <c r="K80" i="2"/>
  <c r="O80" i="2"/>
  <c r="R80" i="2"/>
  <c r="K81" i="2"/>
  <c r="O81" i="2"/>
  <c r="R81" i="2"/>
  <c r="K83" i="2"/>
  <c r="O83" i="2"/>
  <c r="R83" i="2"/>
  <c r="K84" i="2"/>
  <c r="O84" i="2"/>
  <c r="R84" i="2"/>
  <c r="K50" i="2"/>
  <c r="O50" i="2"/>
  <c r="K51" i="2"/>
  <c r="O51" i="2"/>
  <c r="K52" i="2"/>
  <c r="O52" i="2"/>
  <c r="K53" i="2"/>
  <c r="O53" i="2"/>
  <c r="K54" i="2"/>
  <c r="O54" i="2"/>
  <c r="K55" i="2"/>
  <c r="O55" i="2"/>
  <c r="K48" i="2"/>
  <c r="O48" i="2"/>
  <c r="K35" i="2"/>
  <c r="O35" i="2"/>
  <c r="K36" i="2"/>
  <c r="O36" i="2"/>
  <c r="K40" i="2"/>
  <c r="O40" i="2"/>
  <c r="K42" i="2"/>
  <c r="O42" i="2"/>
  <c r="K44" i="2"/>
  <c r="O44" i="2"/>
  <c r="K45" i="2"/>
  <c r="O45" i="2"/>
  <c r="K10" i="2"/>
  <c r="K11" i="2"/>
  <c r="O11" i="2"/>
  <c r="K13" i="2"/>
  <c r="O13" i="2"/>
  <c r="K14" i="2"/>
  <c r="O14" i="2"/>
  <c r="K15" i="2"/>
  <c r="O15" i="2"/>
  <c r="K18" i="2"/>
  <c r="O18" i="2"/>
  <c r="K19" i="2"/>
  <c r="O19" i="2"/>
  <c r="K20" i="2"/>
  <c r="O20" i="2"/>
  <c r="K21" i="2"/>
  <c r="O21" i="2"/>
  <c r="K22" i="2"/>
  <c r="O22" i="2"/>
  <c r="K23" i="2"/>
  <c r="O23" i="2"/>
  <c r="K24" i="2"/>
  <c r="O24" i="2"/>
  <c r="K25" i="2"/>
  <c r="O25" i="2"/>
  <c r="K26" i="2"/>
  <c r="K27" i="2"/>
  <c r="O27" i="2"/>
  <c r="K28" i="2"/>
  <c r="O28" i="2"/>
  <c r="K29" i="2"/>
  <c r="O29" i="2"/>
  <c r="K30" i="2"/>
  <c r="O30" i="2"/>
  <c r="K31" i="2"/>
  <c r="O31" i="2"/>
  <c r="I90" i="2"/>
  <c r="K90" i="2"/>
  <c r="O90" i="2"/>
  <c r="R90" i="2"/>
  <c r="I34" i="2"/>
  <c r="K34" i="2"/>
  <c r="O34" i="2"/>
  <c r="I16" i="2"/>
  <c r="K16" i="2"/>
  <c r="K12" i="2"/>
  <c r="O12" i="2"/>
  <c r="K6" i="2"/>
  <c r="H11" i="5"/>
  <c r="H12" i="5"/>
  <c r="I4" i="5"/>
  <c r="I6" i="5"/>
  <c r="F11" i="5"/>
  <c r="G4" i="5"/>
  <c r="G6" i="5"/>
  <c r="G11" i="5"/>
  <c r="G16" i="5"/>
  <c r="G12" i="5"/>
  <c r="H4" i="5"/>
  <c r="H6" i="5"/>
  <c r="H16" i="5"/>
  <c r="F12" i="5"/>
  <c r="E4" i="5"/>
  <c r="E11" i="5"/>
  <c r="E12" i="5"/>
  <c r="F4" i="5"/>
  <c r="F6" i="5"/>
  <c r="F16" i="5"/>
  <c r="E6" i="5"/>
  <c r="E16" i="5"/>
  <c r="E21" i="5"/>
  <c r="D12" i="5"/>
  <c r="D4" i="5"/>
  <c r="D6" i="5"/>
  <c r="D16" i="5"/>
  <c r="C4" i="5"/>
  <c r="C6" i="5"/>
  <c r="C16" i="5"/>
  <c r="B6" i="5"/>
  <c r="B16" i="5"/>
  <c r="B12" i="5"/>
  <c r="C12" i="5"/>
  <c r="E23" i="5"/>
  <c r="E24" i="5"/>
</calcChain>
</file>

<file path=xl/sharedStrings.xml><?xml version="1.0" encoding="utf-8"?>
<sst xmlns="http://schemas.openxmlformats.org/spreadsheetml/2006/main" count="390" uniqueCount="227">
  <si>
    <t>Kulujuht</t>
  </si>
  <si>
    <t>Kulukoht</t>
  </si>
  <si>
    <t>Kulukoha nimi</t>
  </si>
  <si>
    <t>Eelarve konto</t>
  </si>
  <si>
    <t>YYJ10-10</t>
  </si>
  <si>
    <t>Ühekordsed projektid</t>
  </si>
  <si>
    <t>ATJ10-10TOET</t>
  </si>
  <si>
    <t>YYJ10-10LK</t>
  </si>
  <si>
    <t>YYJ10-10EK</t>
  </si>
  <si>
    <t>Esinduskulud</t>
  </si>
  <si>
    <t>YYJ10-10ELLK</t>
  </si>
  <si>
    <t>Euroopa Liidu lähetuskulud</t>
  </si>
  <si>
    <t>YYJ10-10EURO</t>
  </si>
  <si>
    <t>Atašeed Brüsselis</t>
  </si>
  <si>
    <t>YYJ10-31PALK</t>
  </si>
  <si>
    <t>Tööjõukulud koos maksudega</t>
  </si>
  <si>
    <t>YYJ10-31LISA</t>
  </si>
  <si>
    <t>Lisatasud koos maksudega</t>
  </si>
  <si>
    <t>URJ10-31OK</t>
  </si>
  <si>
    <t>URJ10-31LAPS</t>
  </si>
  <si>
    <t>Jõulupidu lastele</t>
  </si>
  <si>
    <t>YYJ10-31JUHT</t>
  </si>
  <si>
    <t>Juhtide arendustegevused</t>
  </si>
  <si>
    <t>YYJ10-31SPOR</t>
  </si>
  <si>
    <t>YYJ10-31VARB</t>
  </si>
  <si>
    <t>Värbamiskulud</t>
  </si>
  <si>
    <t>ATJ10-31LM</t>
  </si>
  <si>
    <t>Liikmemaksud (Legicoop)</t>
  </si>
  <si>
    <t>YYJ10-31KOOL</t>
  </si>
  <si>
    <t>Koolituskulud</t>
  </si>
  <si>
    <t>YYJ10-32PR</t>
  </si>
  <si>
    <t>Avalikud suhted</t>
  </si>
  <si>
    <t>YYJ10-33</t>
  </si>
  <si>
    <t>Üldised tegevuskulud</t>
  </si>
  <si>
    <t>KIJ10-33</t>
  </si>
  <si>
    <t>Vahendid RKAS-ile</t>
  </si>
  <si>
    <t>YYJ10-30LK</t>
  </si>
  <si>
    <t>YYJ10-36</t>
  </si>
  <si>
    <t>ATJ10-40LM</t>
  </si>
  <si>
    <t>Liikmemaksud (ICC)</t>
  </si>
  <si>
    <t>YYJ10-40LK</t>
  </si>
  <si>
    <t>YYJ10-40</t>
  </si>
  <si>
    <t>YYJ10-42</t>
  </si>
  <si>
    <t>KPO AT kulud</t>
  </si>
  <si>
    <t>ATJ10-42LM</t>
  </si>
  <si>
    <t>Liikmemaksud (GRECO)</t>
  </si>
  <si>
    <t>YYJ10-43</t>
  </si>
  <si>
    <t>YYJ10-50</t>
  </si>
  <si>
    <t>ÕPO tegevuskulud</t>
  </si>
  <si>
    <t>ATJ10-50TOET</t>
  </si>
  <si>
    <t>ATJ10-50ST</t>
  </si>
  <si>
    <t>Sotsiaaltoetused</t>
  </si>
  <si>
    <t>YYJ10-50LK</t>
  </si>
  <si>
    <t>YYJ10-52</t>
  </si>
  <si>
    <t>ÕPO ÕKT kulud</t>
  </si>
  <si>
    <t>ATJ10-53LM</t>
  </si>
  <si>
    <t>YYJ10-60LK</t>
  </si>
  <si>
    <t>ATJ10-60LM</t>
  </si>
  <si>
    <t>Liikmemaksud (EUROPRIS)</t>
  </si>
  <si>
    <t>ATJ10-62ST</t>
  </si>
  <si>
    <t>ATJ10-62SKA</t>
  </si>
  <si>
    <t>SKA stipendium</t>
  </si>
  <si>
    <t>ATJ10-64LM</t>
  </si>
  <si>
    <t>Liikmemaksud (C.E.P)</t>
  </si>
  <si>
    <t>YYJ10-70LK</t>
  </si>
  <si>
    <t>YYJ10-73</t>
  </si>
  <si>
    <t>JPO VKT kulud</t>
  </si>
  <si>
    <t>ATJ10-73TOET</t>
  </si>
  <si>
    <t>ATJ10-73ADV</t>
  </si>
  <si>
    <t>Riigi õigusabi raha Advokatuurile</t>
  </si>
  <si>
    <t>YYJ10-74</t>
  </si>
  <si>
    <t>JPO RTT kulud</t>
  </si>
  <si>
    <t>ATJ10-75LM</t>
  </si>
  <si>
    <t>YYJ10-71</t>
  </si>
  <si>
    <t>JPO KT kulud</t>
  </si>
  <si>
    <t>KPO tegevuskulud</t>
  </si>
  <si>
    <t>Liikmemaksud (PCA, UNIDROIT, HREK)</t>
  </si>
  <si>
    <t>ATJ10-54LM</t>
  </si>
  <si>
    <t>VO lähetuskulud</t>
  </si>
  <si>
    <t>JPO lähetuskulud</t>
  </si>
  <si>
    <t>ÕPO lähetuskulud</t>
  </si>
  <si>
    <t>KPO lähetuskulud</t>
  </si>
  <si>
    <t>Juhtkonna lähetuskulud</t>
  </si>
  <si>
    <t>Meeskonnatöö arendamine</t>
  </si>
  <si>
    <t>Liikmemaksud (ELRA, EBRA)</t>
  </si>
  <si>
    <t>ÕPO sihtotstarbelised toetused</t>
  </si>
  <si>
    <t>JPO sihtotstarbelised toetused</t>
  </si>
  <si>
    <t>Spordikulud</t>
  </si>
  <si>
    <t>ÜO lähetuskulud</t>
  </si>
  <si>
    <t>KPO RJT kulud</t>
  </si>
  <si>
    <t>Eelarve liik</t>
  </si>
  <si>
    <t>Objekt</t>
  </si>
  <si>
    <t>SE030002</t>
  </si>
  <si>
    <t>SE000003</t>
  </si>
  <si>
    <t>SE000099</t>
  </si>
  <si>
    <t>SE000028</t>
  </si>
  <si>
    <t>IN004000</t>
  </si>
  <si>
    <t>IN000099</t>
  </si>
  <si>
    <t>Jääk</t>
  </si>
  <si>
    <t>Kulud kokku</t>
  </si>
  <si>
    <t>Jaanuar</t>
  </si>
  <si>
    <t>veebruar</t>
  </si>
  <si>
    <t>märts</t>
  </si>
  <si>
    <t>aprill</t>
  </si>
  <si>
    <t>Raha</t>
  </si>
  <si>
    <t>KOKKU</t>
  </si>
  <si>
    <t>Jääk vastavalt aruandele</t>
  </si>
  <si>
    <t>mai</t>
  </si>
  <si>
    <t>Eelarve</t>
  </si>
  <si>
    <t>RIS arendus</t>
  </si>
  <si>
    <t>2019.a. jääk</t>
  </si>
  <si>
    <t>juuni</t>
  </si>
  <si>
    <t>juuli</t>
  </si>
  <si>
    <t>august</t>
  </si>
  <si>
    <t>av-õig ül</t>
  </si>
  <si>
    <t>RÕA kulud</t>
  </si>
  <si>
    <t>YYJ10-75</t>
  </si>
  <si>
    <t>KRT kulud</t>
  </si>
  <si>
    <t>Investeeringud</t>
  </si>
  <si>
    <t>Halduskulud</t>
  </si>
  <si>
    <t>Personaliarendus</t>
  </si>
  <si>
    <t>Kinnipeetavad</t>
  </si>
  <si>
    <t>Meditsiinikulud</t>
  </si>
  <si>
    <t>OKJ60-42</t>
  </si>
  <si>
    <t>YYJ60-46</t>
  </si>
  <si>
    <t>OKJ60-49</t>
  </si>
  <si>
    <t>Kriminaalhooldus</t>
  </si>
  <si>
    <t>YYJ60-45</t>
  </si>
  <si>
    <t>YYJ60-47</t>
  </si>
  <si>
    <t>Elektrooniline järelvalve</t>
  </si>
  <si>
    <t>OKJ60-50</t>
  </si>
  <si>
    <t>OKJ60-52</t>
  </si>
  <si>
    <t>Keeleõpe</t>
  </si>
  <si>
    <t>OKJ60-53</t>
  </si>
  <si>
    <t>KP sotsiaalprogrammid</t>
  </si>
  <si>
    <t>OKJ60-41</t>
  </si>
  <si>
    <t>Relvastatud üksus</t>
  </si>
  <si>
    <t>OKJ60-43</t>
  </si>
  <si>
    <t>Kaitsekulud</t>
  </si>
  <si>
    <t>OKJ60-451</t>
  </si>
  <si>
    <t>Kaplanite tegevuskulud</t>
  </si>
  <si>
    <t>URJ60-452</t>
  </si>
  <si>
    <t>Üritused</t>
  </si>
  <si>
    <t>Tegevustoetus</t>
  </si>
  <si>
    <t>Investeeringutoetus</t>
  </si>
  <si>
    <t>Osakondade üritused</t>
  </si>
  <si>
    <t>Liikmemaksud (WIPO, UPCA)</t>
  </si>
  <si>
    <t>YYJ50-HALDUS</t>
  </si>
  <si>
    <t>YYJ50-PAL102</t>
  </si>
  <si>
    <t>Tsentraalne ametnike palgafond</t>
  </si>
  <si>
    <t>SE030003</t>
  </si>
  <si>
    <t>SE030009</t>
  </si>
  <si>
    <t>Sihtotstarbelised toetused</t>
  </si>
  <si>
    <t>Kantsler</t>
  </si>
  <si>
    <t>Kantsleri nõunik EL küsimustes</t>
  </si>
  <si>
    <t>APT juhataja</t>
  </si>
  <si>
    <t>Üldosakonna assistent</t>
  </si>
  <si>
    <t>AST juhataja</t>
  </si>
  <si>
    <t>EST juhataja</t>
  </si>
  <si>
    <t>JTKT juhataja</t>
  </si>
  <si>
    <t>AT juhataja</t>
  </si>
  <si>
    <t>RJT juhataja</t>
  </si>
  <si>
    <t>ÕKT juhataja</t>
  </si>
  <si>
    <t>EÕT juhataja</t>
  </si>
  <si>
    <t>IOT juhataja</t>
  </si>
  <si>
    <t>TÜT juhataja</t>
  </si>
  <si>
    <t>KTT juhataja</t>
  </si>
  <si>
    <t>Peakaplan</t>
  </si>
  <si>
    <t>KT juhataja</t>
  </si>
  <si>
    <t>VKT juhataja</t>
  </si>
  <si>
    <t>RTT juhataja</t>
  </si>
  <si>
    <t>KRT juhataja</t>
  </si>
  <si>
    <t>Selgitus</t>
  </si>
  <si>
    <t>Eelarve jaotus ja vastutajad</t>
  </si>
  <si>
    <t>Eelarve omanik: Kriminaalpoliitika asekantsler</t>
  </si>
  <si>
    <t>Välisvahendid</t>
  </si>
  <si>
    <t>Vanglate reserv</t>
  </si>
  <si>
    <t>Kohtute reserv</t>
  </si>
  <si>
    <t>Eelarve omanik: Õiguspoliitika asekantsler</t>
  </si>
  <si>
    <t>2022. aasta eelarve (käibemaksuta)</t>
  </si>
  <si>
    <t>Eelarve omanik: Vanglate valdkonna asekantsler</t>
  </si>
  <si>
    <t>Eelarve omanik: Justiitshalduspoliitika asekantsler</t>
  </si>
  <si>
    <t>Kantsleri</t>
  </si>
  <si>
    <t>Asekantsler</t>
  </si>
  <si>
    <t>Asekantsleri nõunik</t>
  </si>
  <si>
    <t>YYJ50-KOO102</t>
  </si>
  <si>
    <t>Tsentraalsed ametnike koolituskulud</t>
  </si>
  <si>
    <t>Justiitskolledži stipendiaat</t>
  </si>
  <si>
    <t>Ülekantavad vahendid</t>
  </si>
  <si>
    <t>YYJ10-70</t>
  </si>
  <si>
    <t>JPO tegevuskulud</t>
  </si>
  <si>
    <t>ELA USA Inc ja EV kohtuvaidluse kulud</t>
  </si>
  <si>
    <t>VR030306</t>
  </si>
  <si>
    <t xml:space="preserve">Eelarve I muudatus </t>
  </si>
  <si>
    <t xml:space="preserve">30.03.2022. a käskkirja nr 20 lisa </t>
  </si>
  <si>
    <t>Kuni käskkirja jõustumiseni kehtiv 2022. a eelarve</t>
  </si>
  <si>
    <t>Eelarve II muudatus (käibemaksuta)</t>
  </si>
  <si>
    <t>Lisaeelarve</t>
  </si>
  <si>
    <t>2022. aasta eelarve kokku (käibemaksuta)</t>
  </si>
  <si>
    <t>SE000080</t>
  </si>
  <si>
    <t>YYJ10-40KODT</t>
  </si>
  <si>
    <t>KPO kodanikuteenused</t>
  </si>
  <si>
    <t>YYJ10-50KODT</t>
  </si>
  <si>
    <t>ÕPO kodanikuteenused</t>
  </si>
  <si>
    <t>YYJ10-60INV</t>
  </si>
  <si>
    <t>IN003080</t>
  </si>
  <si>
    <t>IN004080</t>
  </si>
  <si>
    <t>IN005080</t>
  </si>
  <si>
    <t>IN030009</t>
  </si>
  <si>
    <t>YYJ10-60KODT</t>
  </si>
  <si>
    <t>VO kodanikuteenused</t>
  </si>
  <si>
    <t>VR030462</t>
  </si>
  <si>
    <t>YYJ10-73KODT</t>
  </si>
  <si>
    <t>JPO VKT kodanikuteenused</t>
  </si>
  <si>
    <t>Arendusjuht</t>
  </si>
  <si>
    <t>Reservi eraldised</t>
  </si>
  <si>
    <t>Kuni käskkirja jõustumiseni kehtiv 2022. a eelarve (käibemaksuta)</t>
  </si>
  <si>
    <t>SR030102</t>
  </si>
  <si>
    <t>SR030070</t>
  </si>
  <si>
    <t>Eelarve III muudatus</t>
  </si>
  <si>
    <t xml:space="preserve">Eelarve II muudatus </t>
  </si>
  <si>
    <t>Peterburi Panga kohtuvaidlus</t>
  </si>
  <si>
    <t>VR030193</t>
  </si>
  <si>
    <t>Äriregistri andmed tasuta</t>
  </si>
  <si>
    <t>Infoturve ja IT püsikulud</t>
  </si>
  <si>
    <t>2022. aasta alguse eelarve (käibemaksuta)</t>
  </si>
  <si>
    <t>JTKT tegevuskulud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</si>
</sst>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\ &quot;€&quot;"/>
    <numFmt numFmtId="165" formatCode="#,##0_ ;\-#,##0\ 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color rgb="FF2D2C2D"/>
      <name val="Arial"/>
      <family val="2"/>
      <charset val="186"/>
    </font>
    <font>
      <sz val="10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4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164" fontId="0" fillId="0" borderId="0" xfId="0" applyNumberFormat="1" applyFill="1"/>
    <xf numFmtId="16" fontId="0" fillId="0" borderId="0" xfId="0" applyNumberFormat="1"/>
    <xf numFmtId="0" fontId="7" fillId="0" borderId="0" xfId="0" applyFont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3" fontId="6" fillId="0" borderId="0" xfId="4" applyNumberFormat="1" applyFont="1"/>
    <xf numFmtId="3" fontId="6" fillId="0" borderId="0" xfId="0" applyNumberFormat="1" applyFont="1"/>
    <xf numFmtId="3" fontId="6" fillId="0" borderId="1" xfId="0" applyNumberFormat="1" applyFont="1" applyFill="1" applyBorder="1"/>
    <xf numFmtId="0" fontId="6" fillId="0" borderId="0" xfId="0" applyFont="1"/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6" fillId="0" borderId="0" xfId="0" applyFont="1" applyFill="1"/>
    <xf numFmtId="3" fontId="4" fillId="0" borderId="1" xfId="4" applyNumberFormat="1" applyFont="1" applyFill="1" applyBorder="1"/>
    <xf numFmtId="3" fontId="4" fillId="0" borderId="1" xfId="0" applyNumberFormat="1" applyFont="1" applyFill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3" fontId="6" fillId="0" borderId="0" xfId="4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wrapText="1"/>
    </xf>
    <xf numFmtId="3" fontId="4" fillId="0" borderId="1" xfId="4" applyNumberFormat="1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3" fontId="4" fillId="0" borderId="3" xfId="0" applyNumberFormat="1" applyFont="1" applyFill="1" applyBorder="1" applyAlignment="1">
      <alignment horizontal="left"/>
    </xf>
    <xf numFmtId="3" fontId="4" fillId="0" borderId="3" xfId="0" applyNumberFormat="1" applyFont="1" applyFill="1" applyBorder="1" applyAlignment="1">
      <alignment horizontal="right"/>
    </xf>
    <xf numFmtId="3" fontId="4" fillId="0" borderId="3" xfId="5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/>
    </xf>
    <xf numFmtId="0" fontId="6" fillId="0" borderId="4" xfId="0" applyFont="1" applyBorder="1"/>
    <xf numFmtId="3" fontId="6" fillId="0" borderId="3" xfId="0" applyNumberFormat="1" applyFont="1" applyFill="1" applyBorder="1"/>
    <xf numFmtId="3" fontId="6" fillId="0" borderId="4" xfId="0" applyNumberFormat="1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0" fontId="2" fillId="0" borderId="4" xfId="0" applyFont="1" applyBorder="1" applyAlignment="1">
      <alignment horizontal="left"/>
    </xf>
    <xf numFmtId="3" fontId="6" fillId="0" borderId="4" xfId="0" applyNumberFormat="1" applyFont="1" applyBorder="1"/>
    <xf numFmtId="165" fontId="4" fillId="0" borderId="1" xfId="7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3" fontId="6" fillId="0" borderId="7" xfId="0" applyNumberFormat="1" applyFont="1" applyBorder="1"/>
    <xf numFmtId="3" fontId="6" fillId="0" borderId="8" xfId="0" applyNumberFormat="1" applyFont="1" applyBorder="1"/>
    <xf numFmtId="0" fontId="6" fillId="0" borderId="6" xfId="0" applyFont="1" applyBorder="1"/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/>
    <xf numFmtId="0" fontId="6" fillId="0" borderId="9" xfId="0" applyFont="1" applyBorder="1"/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Border="1"/>
    <xf numFmtId="3" fontId="4" fillId="0" borderId="8" xfId="4" applyNumberFormat="1" applyFont="1" applyFill="1" applyBorder="1"/>
    <xf numFmtId="0" fontId="6" fillId="0" borderId="1" xfId="0" applyFont="1" applyFill="1" applyBorder="1"/>
    <xf numFmtId="3" fontId="4" fillId="0" borderId="0" xfId="0" applyNumberFormat="1" applyFont="1" applyFill="1" applyBorder="1"/>
    <xf numFmtId="3" fontId="6" fillId="0" borderId="0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2">
    <cellStyle name="Koma" xfId="5" builtinId="3"/>
    <cellStyle name="Koma 2" xfId="7" xr:uid="{00000000-0005-0000-0000-000001000000}"/>
    <cellStyle name="Koma 2 2" xfId="11" xr:uid="{00000000-0005-0000-0000-000001000000}"/>
    <cellStyle name="Koma 3" xfId="10" xr:uid="{00000000-0005-0000-0000-000036000000}"/>
    <cellStyle name="Normaallaad" xfId="0" builtinId="0"/>
    <cellStyle name="Normaallaad 2" xfId="6" xr:uid="{00000000-0005-0000-0000-000003000000}"/>
    <cellStyle name="Normaallaad 2 2" xfId="8" xr:uid="{00000000-0005-0000-0000-000004000000}"/>
    <cellStyle name="Normaallaad 2 2 2" xfId="9" xr:uid="{00000000-0005-0000-0000-000005000000}"/>
    <cellStyle name="Normal 10 2" xfId="1" xr:uid="{00000000-0005-0000-0000-000006000000}"/>
    <cellStyle name="Normal 25 10" xfId="3" xr:uid="{00000000-0005-0000-0000-000007000000}"/>
    <cellStyle name="Normal 25 9" xfId="2" xr:uid="{00000000-0005-0000-0000-000008000000}"/>
    <cellStyle name="Prot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6"/>
  <sheetViews>
    <sheetView tabSelected="1" zoomScale="110" zoomScaleNormal="110" workbookViewId="0"/>
  </sheetViews>
  <sheetFormatPr defaultColWidth="9.140625" defaultRowHeight="12" x14ac:dyDescent="0.2"/>
  <cols>
    <col min="1" max="1" width="18" style="37" customWidth="1"/>
    <col min="2" max="2" width="11.5703125" style="14" bestFit="1" customWidth="1"/>
    <col min="3" max="3" width="30.42578125" style="14" bestFit="1" customWidth="1"/>
    <col min="4" max="4" width="19.42578125" style="14" customWidth="1"/>
    <col min="5" max="6" width="6.28515625" style="20" bestFit="1" customWidth="1"/>
    <col min="7" max="7" width="8.140625" style="20" bestFit="1" customWidth="1"/>
    <col min="8" max="8" width="14.85546875" style="11" customWidth="1"/>
    <col min="9" max="9" width="8" style="14" hidden="1" customWidth="1"/>
    <col min="10" max="10" width="10" style="14" hidden="1" customWidth="1"/>
    <col min="11" max="11" width="14.85546875" style="14" hidden="1" customWidth="1"/>
    <col min="12" max="12" width="15" style="14" hidden="1" customWidth="1"/>
    <col min="13" max="13" width="10" style="14" hidden="1" customWidth="1"/>
    <col min="14" max="14" width="9" style="14" hidden="1" customWidth="1"/>
    <col min="15" max="15" width="16.7109375" style="14" customWidth="1"/>
    <col min="16" max="16" width="13.85546875" style="14" customWidth="1"/>
    <col min="17" max="17" width="10.85546875" style="14" customWidth="1"/>
    <col min="18" max="18" width="15.42578125" style="14" customWidth="1"/>
    <col min="19" max="16384" width="9.140625" style="14"/>
  </cols>
  <sheetData>
    <row r="1" spans="1:19" x14ac:dyDescent="0.2">
      <c r="R1" s="20" t="s">
        <v>182</v>
      </c>
    </row>
    <row r="2" spans="1:19" x14ac:dyDescent="0.2">
      <c r="R2" s="20" t="s">
        <v>194</v>
      </c>
    </row>
    <row r="3" spans="1:19" ht="15" x14ac:dyDescent="0.25">
      <c r="A3" s="38" t="s">
        <v>173</v>
      </c>
      <c r="H3" s="35"/>
    </row>
    <row r="4" spans="1:19" ht="15" x14ac:dyDescent="0.25">
      <c r="H4" s="35"/>
    </row>
    <row r="5" spans="1:19" s="33" customFormat="1" ht="48" x14ac:dyDescent="0.2">
      <c r="A5" s="24" t="s">
        <v>0</v>
      </c>
      <c r="B5" s="24" t="s">
        <v>1</v>
      </c>
      <c r="C5" s="24" t="s">
        <v>2</v>
      </c>
      <c r="D5" s="24" t="s">
        <v>172</v>
      </c>
      <c r="E5" s="24" t="s">
        <v>90</v>
      </c>
      <c r="F5" s="24" t="s">
        <v>3</v>
      </c>
      <c r="G5" s="24" t="s">
        <v>91</v>
      </c>
      <c r="H5" s="25" t="s">
        <v>225</v>
      </c>
      <c r="I5" s="25" t="s">
        <v>193</v>
      </c>
      <c r="J5" s="25" t="s">
        <v>188</v>
      </c>
      <c r="K5" s="51" t="s">
        <v>195</v>
      </c>
      <c r="L5" s="51" t="s">
        <v>220</v>
      </c>
      <c r="M5" s="51" t="s">
        <v>188</v>
      </c>
      <c r="N5" s="51" t="s">
        <v>197</v>
      </c>
      <c r="O5" s="51" t="s">
        <v>216</v>
      </c>
      <c r="P5" s="51" t="s">
        <v>219</v>
      </c>
      <c r="Q5" s="51" t="s">
        <v>215</v>
      </c>
      <c r="R5" s="51" t="s">
        <v>198</v>
      </c>
    </row>
    <row r="6" spans="1:19" x14ac:dyDescent="0.2">
      <c r="A6" s="79" t="s">
        <v>153</v>
      </c>
      <c r="B6" s="9" t="s">
        <v>4</v>
      </c>
      <c r="C6" s="9" t="s">
        <v>5</v>
      </c>
      <c r="D6" s="9"/>
      <c r="E6" s="8">
        <v>20</v>
      </c>
      <c r="F6" s="8">
        <v>5</v>
      </c>
      <c r="G6" s="8"/>
      <c r="H6" s="28">
        <v>8274733</v>
      </c>
      <c r="I6" s="28">
        <f>-100000-329-38832</f>
        <v>-139161</v>
      </c>
      <c r="J6" s="28">
        <v>2700000</v>
      </c>
      <c r="K6" s="28">
        <f>H6+I6+J6</f>
        <v>10835572</v>
      </c>
      <c r="L6" s="18">
        <f>-442237-50000+400-680991-40816-350000-567660</f>
        <v>-2131304</v>
      </c>
      <c r="M6" s="18">
        <v>337896</v>
      </c>
      <c r="N6" s="52"/>
      <c r="O6" s="53">
        <f>K6+L6+M6+N6</f>
        <v>9042164</v>
      </c>
      <c r="P6" s="55">
        <f>-207739-400-94375-459659-28000-4449</f>
        <v>-794622</v>
      </c>
      <c r="Q6" s="55"/>
      <c r="R6" s="60">
        <f>O6+P6+Q6</f>
        <v>8247542</v>
      </c>
      <c r="S6" s="62"/>
    </row>
    <row r="7" spans="1:19" ht="24" x14ac:dyDescent="0.2">
      <c r="A7" s="79"/>
      <c r="B7" s="9" t="s">
        <v>4</v>
      </c>
      <c r="C7" s="9" t="s">
        <v>5</v>
      </c>
      <c r="D7" s="9" t="s">
        <v>223</v>
      </c>
      <c r="E7" s="8">
        <v>20</v>
      </c>
      <c r="F7" s="8">
        <v>5</v>
      </c>
      <c r="G7" s="8" t="s">
        <v>217</v>
      </c>
      <c r="H7" s="28">
        <v>0</v>
      </c>
      <c r="I7" s="28"/>
      <c r="J7" s="28"/>
      <c r="K7" s="28"/>
      <c r="L7" s="18"/>
      <c r="M7" s="18"/>
      <c r="N7" s="52"/>
      <c r="O7" s="53">
        <v>0</v>
      </c>
      <c r="P7" s="55">
        <v>-1800000</v>
      </c>
      <c r="Q7" s="55">
        <v>5900000</v>
      </c>
      <c r="R7" s="60">
        <f t="shared" ref="R7:R8" si="0">O7+P7+Q7</f>
        <v>4100000</v>
      </c>
      <c r="S7" s="62"/>
    </row>
    <row r="8" spans="1:19" ht="24" x14ac:dyDescent="0.2">
      <c r="A8" s="79"/>
      <c r="B8" s="9" t="s">
        <v>4</v>
      </c>
      <c r="C8" s="9" t="s">
        <v>5</v>
      </c>
      <c r="D8" s="9" t="s">
        <v>224</v>
      </c>
      <c r="E8" s="8">
        <v>20</v>
      </c>
      <c r="F8" s="8">
        <v>5</v>
      </c>
      <c r="G8" s="8" t="s">
        <v>218</v>
      </c>
      <c r="H8" s="28">
        <v>0</v>
      </c>
      <c r="I8" s="28"/>
      <c r="J8" s="28"/>
      <c r="K8" s="28"/>
      <c r="L8" s="18"/>
      <c r="M8" s="18"/>
      <c r="N8" s="52"/>
      <c r="O8" s="53">
        <v>0</v>
      </c>
      <c r="P8" s="55">
        <v>-295000</v>
      </c>
      <c r="Q8" s="55">
        <f>1473497</f>
        <v>1473497</v>
      </c>
      <c r="R8" s="60">
        <f t="shared" si="0"/>
        <v>1178497</v>
      </c>
      <c r="S8" s="62"/>
    </row>
    <row r="9" spans="1:19" x14ac:dyDescent="0.2">
      <c r="A9" s="79"/>
      <c r="B9" s="9" t="s">
        <v>4</v>
      </c>
      <c r="C9" s="9" t="s">
        <v>5</v>
      </c>
      <c r="D9" s="9"/>
      <c r="E9" s="8">
        <v>20</v>
      </c>
      <c r="F9" s="8">
        <v>5</v>
      </c>
      <c r="G9" s="8" t="s">
        <v>199</v>
      </c>
      <c r="H9" s="28">
        <v>0</v>
      </c>
      <c r="I9" s="28"/>
      <c r="J9" s="28"/>
      <c r="K9" s="28">
        <f>H9+I9+J9</f>
        <v>0</v>
      </c>
      <c r="L9" s="18"/>
      <c r="M9" s="18"/>
      <c r="N9" s="18">
        <v>696000</v>
      </c>
      <c r="O9" s="53">
        <f>K9+L9+M9+N9</f>
        <v>696000</v>
      </c>
      <c r="P9" s="55">
        <f>-676000</f>
        <v>-676000</v>
      </c>
      <c r="Q9" s="55"/>
      <c r="R9" s="60">
        <f t="shared" ref="R9:R74" si="1">O9+P9+Q9</f>
        <v>20000</v>
      </c>
      <c r="S9" s="62"/>
    </row>
    <row r="10" spans="1:19" ht="14.25" customHeight="1" x14ac:dyDescent="0.2">
      <c r="A10" s="79"/>
      <c r="B10" s="9" t="s">
        <v>6</v>
      </c>
      <c r="C10" s="9" t="s">
        <v>152</v>
      </c>
      <c r="D10" s="9" t="s">
        <v>144</v>
      </c>
      <c r="E10" s="8">
        <v>20</v>
      </c>
      <c r="F10" s="8">
        <v>45</v>
      </c>
      <c r="G10" s="8" t="s">
        <v>97</v>
      </c>
      <c r="H10" s="18">
        <v>20000</v>
      </c>
      <c r="I10" s="28"/>
      <c r="J10" s="28"/>
      <c r="K10" s="28">
        <f t="shared" ref="K10:K31" si="2">H10+I10+J10</f>
        <v>20000</v>
      </c>
      <c r="L10" s="52"/>
      <c r="M10" s="52"/>
      <c r="N10" s="52"/>
      <c r="O10" s="53">
        <f>K10+L10+M10+N10</f>
        <v>20000</v>
      </c>
      <c r="P10" s="55"/>
      <c r="Q10" s="55"/>
      <c r="R10" s="60">
        <f t="shared" si="1"/>
        <v>20000</v>
      </c>
      <c r="S10" s="62"/>
    </row>
    <row r="11" spans="1:19" x14ac:dyDescent="0.2">
      <c r="A11" s="79"/>
      <c r="B11" s="9" t="s">
        <v>6</v>
      </c>
      <c r="C11" s="9" t="s">
        <v>152</v>
      </c>
      <c r="D11" s="9" t="s">
        <v>143</v>
      </c>
      <c r="E11" s="8">
        <v>20</v>
      </c>
      <c r="F11" s="8">
        <v>452</v>
      </c>
      <c r="G11" s="8" t="s">
        <v>94</v>
      </c>
      <c r="H11" s="18">
        <v>51000</v>
      </c>
      <c r="I11" s="28"/>
      <c r="J11" s="28"/>
      <c r="K11" s="28">
        <f t="shared" si="2"/>
        <v>51000</v>
      </c>
      <c r="L11" s="52"/>
      <c r="M11" s="52"/>
      <c r="N11" s="52"/>
      <c r="O11" s="53">
        <f t="shared" ref="O11:O31" si="3">K11+L11+M11+N11</f>
        <v>51000</v>
      </c>
      <c r="P11" s="55"/>
      <c r="Q11" s="55"/>
      <c r="R11" s="60">
        <f t="shared" si="1"/>
        <v>51000</v>
      </c>
      <c r="S11" s="62"/>
    </row>
    <row r="12" spans="1:19" x14ac:dyDescent="0.2">
      <c r="A12" s="79"/>
      <c r="B12" s="9" t="s">
        <v>6</v>
      </c>
      <c r="C12" s="9" t="s">
        <v>152</v>
      </c>
      <c r="D12" s="9"/>
      <c r="E12" s="8">
        <v>20</v>
      </c>
      <c r="F12" s="8">
        <v>45</v>
      </c>
      <c r="G12" s="8"/>
      <c r="H12" s="29">
        <v>1406000</v>
      </c>
      <c r="I12" s="28"/>
      <c r="J12" s="28"/>
      <c r="K12" s="28">
        <f>H12+I12+J12</f>
        <v>1406000</v>
      </c>
      <c r="L12" s="52"/>
      <c r="M12" s="52"/>
      <c r="N12" s="52"/>
      <c r="O12" s="53">
        <f t="shared" si="3"/>
        <v>1406000</v>
      </c>
      <c r="P12" s="55">
        <f>400</f>
        <v>400</v>
      </c>
      <c r="Q12" s="55"/>
      <c r="R12" s="60">
        <f t="shared" si="1"/>
        <v>1406400</v>
      </c>
      <c r="S12" s="62"/>
    </row>
    <row r="13" spans="1:19" x14ac:dyDescent="0.2">
      <c r="A13" s="79"/>
      <c r="B13" s="9" t="s">
        <v>7</v>
      </c>
      <c r="C13" s="9" t="s">
        <v>82</v>
      </c>
      <c r="D13" s="9"/>
      <c r="E13" s="8">
        <v>20</v>
      </c>
      <c r="F13" s="8">
        <v>5</v>
      </c>
      <c r="G13" s="8"/>
      <c r="H13" s="18">
        <v>12000</v>
      </c>
      <c r="I13" s="28"/>
      <c r="J13" s="28"/>
      <c r="K13" s="28">
        <f t="shared" si="2"/>
        <v>12000</v>
      </c>
      <c r="L13" s="52"/>
      <c r="M13" s="52"/>
      <c r="N13" s="52"/>
      <c r="O13" s="53">
        <f t="shared" si="3"/>
        <v>12000</v>
      </c>
      <c r="P13" s="55"/>
      <c r="Q13" s="55"/>
      <c r="R13" s="60">
        <f t="shared" si="1"/>
        <v>12000</v>
      </c>
      <c r="S13" s="62"/>
    </row>
    <row r="14" spans="1:19" x14ac:dyDescent="0.2">
      <c r="A14" s="79" t="s">
        <v>154</v>
      </c>
      <c r="B14" s="9" t="s">
        <v>10</v>
      </c>
      <c r="C14" s="9" t="s">
        <v>11</v>
      </c>
      <c r="D14" s="9"/>
      <c r="E14" s="8">
        <v>20</v>
      </c>
      <c r="F14" s="8">
        <v>5</v>
      </c>
      <c r="G14" s="8"/>
      <c r="H14" s="30">
        <v>50000</v>
      </c>
      <c r="I14" s="28"/>
      <c r="J14" s="28"/>
      <c r="K14" s="28">
        <f t="shared" si="2"/>
        <v>50000</v>
      </c>
      <c r="L14" s="52"/>
      <c r="M14" s="52"/>
      <c r="N14" s="52"/>
      <c r="O14" s="53">
        <f t="shared" si="3"/>
        <v>50000</v>
      </c>
      <c r="P14" s="55"/>
      <c r="Q14" s="55"/>
      <c r="R14" s="60">
        <f t="shared" si="1"/>
        <v>50000</v>
      </c>
      <c r="S14" s="62"/>
    </row>
    <row r="15" spans="1:19" x14ac:dyDescent="0.2">
      <c r="A15" s="79"/>
      <c r="B15" s="9" t="s">
        <v>12</v>
      </c>
      <c r="C15" s="9" t="s">
        <v>13</v>
      </c>
      <c r="D15" s="9"/>
      <c r="E15" s="8">
        <v>20</v>
      </c>
      <c r="F15" s="8">
        <v>5</v>
      </c>
      <c r="G15" s="8"/>
      <c r="H15" s="13">
        <v>135000</v>
      </c>
      <c r="I15" s="28"/>
      <c r="J15" s="28"/>
      <c r="K15" s="28">
        <f t="shared" si="2"/>
        <v>135000</v>
      </c>
      <c r="L15" s="52"/>
      <c r="M15" s="52"/>
      <c r="N15" s="52"/>
      <c r="O15" s="53">
        <f t="shared" si="3"/>
        <v>135000</v>
      </c>
      <c r="P15" s="55"/>
      <c r="Q15" s="55"/>
      <c r="R15" s="60">
        <f t="shared" si="1"/>
        <v>135000</v>
      </c>
      <c r="S15" s="62"/>
    </row>
    <row r="16" spans="1:19" x14ac:dyDescent="0.2">
      <c r="A16" s="79" t="s">
        <v>155</v>
      </c>
      <c r="B16" s="9" t="s">
        <v>14</v>
      </c>
      <c r="C16" s="9" t="s">
        <v>15</v>
      </c>
      <c r="D16" s="9"/>
      <c r="E16" s="8">
        <v>20</v>
      </c>
      <c r="F16" s="8">
        <v>5</v>
      </c>
      <c r="G16" s="8"/>
      <c r="H16" s="29">
        <v>6699589.426</v>
      </c>
      <c r="I16" s="28">
        <f>93347+59943</f>
        <v>153290</v>
      </c>
      <c r="J16" s="28"/>
      <c r="K16" s="28">
        <f t="shared" si="2"/>
        <v>6852879.426</v>
      </c>
      <c r="L16" s="18">
        <v>28671</v>
      </c>
      <c r="M16" s="52"/>
      <c r="N16" s="52"/>
      <c r="O16" s="53">
        <f>K16+L16+M16+N16</f>
        <v>6881550.426</v>
      </c>
      <c r="P16" s="53">
        <f>2750+43350+80887</f>
        <v>126987</v>
      </c>
      <c r="Q16" s="55"/>
      <c r="R16" s="60">
        <f t="shared" si="1"/>
        <v>7008537.426</v>
      </c>
      <c r="S16" s="62"/>
    </row>
    <row r="17" spans="1:19" x14ac:dyDescent="0.2">
      <c r="A17" s="79"/>
      <c r="B17" s="9" t="s">
        <v>14</v>
      </c>
      <c r="C17" s="9" t="s">
        <v>15</v>
      </c>
      <c r="D17" s="9"/>
      <c r="E17" s="8">
        <v>10</v>
      </c>
      <c r="F17" s="8">
        <v>5</v>
      </c>
      <c r="G17" s="8" t="s">
        <v>150</v>
      </c>
      <c r="H17" s="29">
        <v>0</v>
      </c>
      <c r="I17" s="28"/>
      <c r="J17" s="28"/>
      <c r="K17" s="28"/>
      <c r="L17" s="18"/>
      <c r="M17" s="52"/>
      <c r="N17" s="52"/>
      <c r="O17" s="53">
        <v>0</v>
      </c>
      <c r="P17" s="55">
        <f>85818+63494</f>
        <v>149312</v>
      </c>
      <c r="Q17" s="55"/>
      <c r="R17" s="60">
        <f t="shared" si="1"/>
        <v>149312</v>
      </c>
      <c r="S17" s="62"/>
    </row>
    <row r="18" spans="1:19" x14ac:dyDescent="0.2">
      <c r="A18" s="79"/>
      <c r="B18" s="9" t="s">
        <v>16</v>
      </c>
      <c r="C18" s="9" t="s">
        <v>17</v>
      </c>
      <c r="D18" s="9"/>
      <c r="E18" s="8">
        <v>20</v>
      </c>
      <c r="F18" s="8">
        <v>5</v>
      </c>
      <c r="G18" s="8"/>
      <c r="H18" s="18">
        <v>353783.23294626008</v>
      </c>
      <c r="I18" s="28"/>
      <c r="J18" s="28"/>
      <c r="K18" s="28">
        <f t="shared" si="2"/>
        <v>353783.23294626008</v>
      </c>
      <c r="L18" s="52"/>
      <c r="M18" s="52"/>
      <c r="N18" s="52"/>
      <c r="O18" s="53">
        <f t="shared" si="3"/>
        <v>353783.23294626008</v>
      </c>
      <c r="P18" s="53">
        <v>378772</v>
      </c>
      <c r="Q18" s="55"/>
      <c r="R18" s="60">
        <f t="shared" si="1"/>
        <v>732555.23294626013</v>
      </c>
      <c r="S18" s="62"/>
    </row>
    <row r="19" spans="1:19" x14ac:dyDescent="0.2">
      <c r="A19" s="79"/>
      <c r="B19" s="9" t="s">
        <v>18</v>
      </c>
      <c r="C19" s="9" t="s">
        <v>83</v>
      </c>
      <c r="D19" s="9" t="s">
        <v>145</v>
      </c>
      <c r="E19" s="8">
        <v>20</v>
      </c>
      <c r="F19" s="8">
        <v>5</v>
      </c>
      <c r="G19" s="8"/>
      <c r="H19" s="13">
        <v>25715</v>
      </c>
      <c r="I19" s="28"/>
      <c r="J19" s="28"/>
      <c r="K19" s="28">
        <f t="shared" si="2"/>
        <v>25715</v>
      </c>
      <c r="L19" s="52"/>
      <c r="M19" s="52"/>
      <c r="N19" s="52"/>
      <c r="O19" s="53">
        <f t="shared" si="3"/>
        <v>25715</v>
      </c>
      <c r="P19" s="55"/>
      <c r="Q19" s="55"/>
      <c r="R19" s="60">
        <f t="shared" si="1"/>
        <v>25715</v>
      </c>
      <c r="S19" s="62"/>
    </row>
    <row r="20" spans="1:19" x14ac:dyDescent="0.2">
      <c r="A20" s="79"/>
      <c r="B20" s="9" t="s">
        <v>19</v>
      </c>
      <c r="C20" s="9" t="s">
        <v>20</v>
      </c>
      <c r="D20" s="9"/>
      <c r="E20" s="8">
        <v>20</v>
      </c>
      <c r="F20" s="8">
        <v>5</v>
      </c>
      <c r="G20" s="8"/>
      <c r="H20" s="13">
        <v>5000</v>
      </c>
      <c r="I20" s="28"/>
      <c r="J20" s="28"/>
      <c r="K20" s="28">
        <f t="shared" si="2"/>
        <v>5000</v>
      </c>
      <c r="L20" s="52"/>
      <c r="M20" s="52"/>
      <c r="N20" s="52"/>
      <c r="O20" s="53">
        <f t="shared" si="3"/>
        <v>5000</v>
      </c>
      <c r="P20" s="55"/>
      <c r="Q20" s="55"/>
      <c r="R20" s="60">
        <f t="shared" si="1"/>
        <v>5000</v>
      </c>
      <c r="S20" s="62"/>
    </row>
    <row r="21" spans="1:19" x14ac:dyDescent="0.2">
      <c r="A21" s="79"/>
      <c r="B21" s="9" t="s">
        <v>21</v>
      </c>
      <c r="C21" s="9" t="s">
        <v>22</v>
      </c>
      <c r="D21" s="9"/>
      <c r="E21" s="8">
        <v>20</v>
      </c>
      <c r="F21" s="8">
        <v>5</v>
      </c>
      <c r="G21" s="8"/>
      <c r="H21" s="13">
        <v>23810</v>
      </c>
      <c r="I21" s="28"/>
      <c r="J21" s="28"/>
      <c r="K21" s="28">
        <f t="shared" si="2"/>
        <v>23810</v>
      </c>
      <c r="L21" s="52"/>
      <c r="M21" s="52"/>
      <c r="N21" s="52"/>
      <c r="O21" s="53">
        <f t="shared" si="3"/>
        <v>23810</v>
      </c>
      <c r="P21" s="55"/>
      <c r="Q21" s="55"/>
      <c r="R21" s="60">
        <f t="shared" si="1"/>
        <v>23810</v>
      </c>
      <c r="S21" s="62"/>
    </row>
    <row r="22" spans="1:19" x14ac:dyDescent="0.2">
      <c r="A22" s="79"/>
      <c r="B22" s="9" t="s">
        <v>23</v>
      </c>
      <c r="C22" s="9" t="s">
        <v>87</v>
      </c>
      <c r="D22" s="9"/>
      <c r="E22" s="8">
        <v>20</v>
      </c>
      <c r="F22" s="8">
        <v>5</v>
      </c>
      <c r="G22" s="8"/>
      <c r="H22" s="30">
        <v>29910</v>
      </c>
      <c r="I22" s="28"/>
      <c r="J22" s="28"/>
      <c r="K22" s="28">
        <f t="shared" si="2"/>
        <v>29910</v>
      </c>
      <c r="L22" s="52"/>
      <c r="M22" s="52"/>
      <c r="N22" s="52"/>
      <c r="O22" s="53">
        <f t="shared" si="3"/>
        <v>29910</v>
      </c>
      <c r="P22" s="55"/>
      <c r="Q22" s="55"/>
      <c r="R22" s="60">
        <f t="shared" si="1"/>
        <v>29910</v>
      </c>
      <c r="S22" s="62"/>
    </row>
    <row r="23" spans="1:19" x14ac:dyDescent="0.2">
      <c r="A23" s="79"/>
      <c r="B23" s="9" t="s">
        <v>24</v>
      </c>
      <c r="C23" s="9" t="s">
        <v>25</v>
      </c>
      <c r="D23" s="9"/>
      <c r="E23" s="8">
        <v>20</v>
      </c>
      <c r="F23" s="8">
        <v>5</v>
      </c>
      <c r="G23" s="8"/>
      <c r="H23" s="13">
        <v>13300</v>
      </c>
      <c r="I23" s="28"/>
      <c r="J23" s="28"/>
      <c r="K23" s="28">
        <f t="shared" si="2"/>
        <v>13300</v>
      </c>
      <c r="L23" s="52"/>
      <c r="M23" s="52"/>
      <c r="N23" s="52"/>
      <c r="O23" s="53">
        <f t="shared" si="3"/>
        <v>13300</v>
      </c>
      <c r="P23" s="55"/>
      <c r="Q23" s="55"/>
      <c r="R23" s="60">
        <f t="shared" si="1"/>
        <v>13300</v>
      </c>
      <c r="S23" s="62"/>
    </row>
    <row r="24" spans="1:19" x14ac:dyDescent="0.2">
      <c r="A24" s="79"/>
      <c r="B24" s="9" t="s">
        <v>28</v>
      </c>
      <c r="C24" s="9" t="s">
        <v>29</v>
      </c>
      <c r="D24" s="9"/>
      <c r="E24" s="8">
        <v>20</v>
      </c>
      <c r="F24" s="8">
        <v>5</v>
      </c>
      <c r="G24" s="8"/>
      <c r="H24" s="13">
        <v>42850</v>
      </c>
      <c r="I24" s="28"/>
      <c r="J24" s="28"/>
      <c r="K24" s="28">
        <f t="shared" si="2"/>
        <v>42850</v>
      </c>
      <c r="L24" s="52"/>
      <c r="M24" s="52"/>
      <c r="N24" s="52"/>
      <c r="O24" s="53">
        <f t="shared" si="3"/>
        <v>42850</v>
      </c>
      <c r="P24" s="55"/>
      <c r="Q24" s="55"/>
      <c r="R24" s="60">
        <f t="shared" si="1"/>
        <v>42850</v>
      </c>
      <c r="S24" s="62"/>
    </row>
    <row r="25" spans="1:19" ht="24" x14ac:dyDescent="0.2">
      <c r="A25" s="36" t="s">
        <v>156</v>
      </c>
      <c r="B25" s="9" t="s">
        <v>26</v>
      </c>
      <c r="C25" s="9" t="s">
        <v>27</v>
      </c>
      <c r="D25" s="9"/>
      <c r="E25" s="8">
        <v>20</v>
      </c>
      <c r="F25" s="8">
        <v>45</v>
      </c>
      <c r="G25" s="8" t="s">
        <v>93</v>
      </c>
      <c r="H25" s="13">
        <v>650</v>
      </c>
      <c r="I25" s="28"/>
      <c r="J25" s="28"/>
      <c r="K25" s="28">
        <f t="shared" si="2"/>
        <v>650</v>
      </c>
      <c r="L25" s="52"/>
      <c r="M25" s="52"/>
      <c r="N25" s="52"/>
      <c r="O25" s="53">
        <f t="shared" si="3"/>
        <v>650</v>
      </c>
      <c r="P25" s="55"/>
      <c r="Q25" s="55"/>
      <c r="R25" s="60">
        <f t="shared" si="1"/>
        <v>650</v>
      </c>
      <c r="S25" s="62"/>
    </row>
    <row r="26" spans="1:19" x14ac:dyDescent="0.2">
      <c r="A26" s="36" t="s">
        <v>157</v>
      </c>
      <c r="B26" s="15" t="s">
        <v>30</v>
      </c>
      <c r="C26" s="15" t="s">
        <v>31</v>
      </c>
      <c r="D26" s="15"/>
      <c r="E26" s="16">
        <v>20</v>
      </c>
      <c r="F26" s="16">
        <v>5</v>
      </c>
      <c r="G26" s="16"/>
      <c r="H26" s="31">
        <v>145000</v>
      </c>
      <c r="I26" s="28"/>
      <c r="J26" s="28"/>
      <c r="K26" s="28">
        <f t="shared" si="2"/>
        <v>145000</v>
      </c>
      <c r="L26" s="18">
        <v>50000</v>
      </c>
      <c r="M26" s="52"/>
      <c r="N26" s="52"/>
      <c r="O26" s="53">
        <f>K26+L26+M26+N26</f>
        <v>195000</v>
      </c>
      <c r="P26" s="55">
        <v>28000</v>
      </c>
      <c r="Q26" s="55"/>
      <c r="R26" s="60">
        <f t="shared" si="1"/>
        <v>223000</v>
      </c>
      <c r="S26" s="62"/>
    </row>
    <row r="27" spans="1:19" x14ac:dyDescent="0.2">
      <c r="A27" s="79" t="s">
        <v>158</v>
      </c>
      <c r="B27" s="9" t="s">
        <v>34</v>
      </c>
      <c r="C27" s="9" t="s">
        <v>35</v>
      </c>
      <c r="D27" s="9"/>
      <c r="E27" s="8">
        <v>20</v>
      </c>
      <c r="F27" s="8">
        <v>5</v>
      </c>
      <c r="G27" s="8" t="s">
        <v>95</v>
      </c>
      <c r="H27" s="13">
        <v>873567</v>
      </c>
      <c r="I27" s="28">
        <v>-18000</v>
      </c>
      <c r="J27" s="28"/>
      <c r="K27" s="28">
        <f t="shared" si="2"/>
        <v>855567</v>
      </c>
      <c r="L27" s="52"/>
      <c r="M27" s="52"/>
      <c r="N27" s="52"/>
      <c r="O27" s="53">
        <f t="shared" si="3"/>
        <v>855567</v>
      </c>
      <c r="P27" s="55"/>
      <c r="Q27" s="55"/>
      <c r="R27" s="60">
        <f t="shared" si="1"/>
        <v>855567</v>
      </c>
      <c r="S27" s="62"/>
    </row>
    <row r="28" spans="1:19" x14ac:dyDescent="0.2">
      <c r="A28" s="79"/>
      <c r="B28" s="9" t="s">
        <v>8</v>
      </c>
      <c r="C28" s="9" t="s">
        <v>9</v>
      </c>
      <c r="D28" s="9"/>
      <c r="E28" s="8">
        <v>20</v>
      </c>
      <c r="F28" s="8">
        <v>5</v>
      </c>
      <c r="G28" s="8"/>
      <c r="H28" s="13">
        <v>4000</v>
      </c>
      <c r="I28" s="28"/>
      <c r="J28" s="28"/>
      <c r="K28" s="28">
        <f t="shared" si="2"/>
        <v>4000</v>
      </c>
      <c r="L28" s="52"/>
      <c r="M28" s="52"/>
      <c r="N28" s="52"/>
      <c r="O28" s="53">
        <f t="shared" si="3"/>
        <v>4000</v>
      </c>
      <c r="P28" s="55"/>
      <c r="Q28" s="55"/>
      <c r="R28" s="60">
        <f t="shared" si="1"/>
        <v>4000</v>
      </c>
      <c r="S28" s="62"/>
    </row>
    <row r="29" spans="1:19" x14ac:dyDescent="0.2">
      <c r="A29" s="79"/>
      <c r="B29" s="9" t="s">
        <v>36</v>
      </c>
      <c r="C29" s="9" t="s">
        <v>88</v>
      </c>
      <c r="D29" s="9"/>
      <c r="E29" s="8">
        <v>20</v>
      </c>
      <c r="F29" s="8">
        <v>5</v>
      </c>
      <c r="G29" s="8"/>
      <c r="H29" s="13">
        <v>2500</v>
      </c>
      <c r="I29" s="28"/>
      <c r="J29" s="28"/>
      <c r="K29" s="28">
        <f t="shared" si="2"/>
        <v>2500</v>
      </c>
      <c r="L29" s="52"/>
      <c r="M29" s="52"/>
      <c r="N29" s="52"/>
      <c r="O29" s="53">
        <f t="shared" si="3"/>
        <v>2500</v>
      </c>
      <c r="P29" s="55"/>
      <c r="Q29" s="55"/>
      <c r="R29" s="60">
        <f t="shared" si="1"/>
        <v>2500</v>
      </c>
      <c r="S29" s="62"/>
    </row>
    <row r="30" spans="1:19" x14ac:dyDescent="0.2">
      <c r="A30" s="79"/>
      <c r="B30" s="9" t="s">
        <v>32</v>
      </c>
      <c r="C30" s="9" t="s">
        <v>33</v>
      </c>
      <c r="D30" s="9"/>
      <c r="E30" s="8">
        <v>20</v>
      </c>
      <c r="F30" s="8">
        <v>5</v>
      </c>
      <c r="G30" s="8"/>
      <c r="H30" s="13">
        <v>6000</v>
      </c>
      <c r="I30" s="28"/>
      <c r="J30" s="28"/>
      <c r="K30" s="28">
        <f t="shared" si="2"/>
        <v>6000</v>
      </c>
      <c r="L30" s="52"/>
      <c r="M30" s="52"/>
      <c r="N30" s="52"/>
      <c r="O30" s="53">
        <f t="shared" si="3"/>
        <v>6000</v>
      </c>
      <c r="P30" s="55"/>
      <c r="Q30" s="55"/>
      <c r="R30" s="60">
        <f t="shared" si="1"/>
        <v>6000</v>
      </c>
      <c r="S30" s="62"/>
    </row>
    <row r="31" spans="1:19" x14ac:dyDescent="0.2">
      <c r="A31" s="39" t="s">
        <v>159</v>
      </c>
      <c r="B31" s="40" t="s">
        <v>37</v>
      </c>
      <c r="C31" s="40" t="s">
        <v>226</v>
      </c>
      <c r="D31" s="40"/>
      <c r="E31" s="42">
        <v>20</v>
      </c>
      <c r="F31" s="42">
        <v>5</v>
      </c>
      <c r="G31" s="42"/>
      <c r="H31" s="49">
        <v>3120</v>
      </c>
      <c r="I31" s="43"/>
      <c r="J31" s="43"/>
      <c r="K31" s="43">
        <f t="shared" si="2"/>
        <v>3120</v>
      </c>
      <c r="L31" s="54"/>
      <c r="M31" s="54"/>
      <c r="N31" s="54"/>
      <c r="O31" s="55">
        <f t="shared" si="3"/>
        <v>3120</v>
      </c>
      <c r="P31" s="55">
        <v>4449</v>
      </c>
      <c r="Q31" s="53"/>
      <c r="R31" s="61">
        <f t="shared" si="1"/>
        <v>7569</v>
      </c>
      <c r="S31" s="62"/>
    </row>
    <row r="32" spans="1:19" s="22" customFormat="1" ht="15" x14ac:dyDescent="0.25">
      <c r="A32" s="56" t="s">
        <v>174</v>
      </c>
      <c r="B32" s="46"/>
      <c r="C32" s="46"/>
      <c r="D32" s="46"/>
      <c r="E32" s="47"/>
      <c r="F32" s="47"/>
      <c r="G32" s="47"/>
      <c r="H32" s="50"/>
      <c r="I32" s="48"/>
      <c r="J32" s="48"/>
      <c r="K32" s="57"/>
      <c r="L32" s="48"/>
      <c r="M32" s="48"/>
      <c r="N32" s="48"/>
      <c r="O32" s="57"/>
      <c r="P32" s="65"/>
      <c r="R32" s="12"/>
      <c r="S32" s="62"/>
    </row>
    <row r="33" spans="1:19" s="33" customFormat="1" ht="48" x14ac:dyDescent="0.2">
      <c r="A33" s="44" t="s">
        <v>0</v>
      </c>
      <c r="B33" s="44" t="s">
        <v>1</v>
      </c>
      <c r="C33" s="44" t="s">
        <v>2</v>
      </c>
      <c r="D33" s="44" t="s">
        <v>172</v>
      </c>
      <c r="E33" s="44" t="s">
        <v>90</v>
      </c>
      <c r="F33" s="44" t="s">
        <v>3</v>
      </c>
      <c r="G33" s="44" t="s">
        <v>91</v>
      </c>
      <c r="H33" s="45" t="s">
        <v>179</v>
      </c>
      <c r="I33" s="45" t="s">
        <v>193</v>
      </c>
      <c r="J33" s="45" t="s">
        <v>188</v>
      </c>
      <c r="K33" s="45" t="s">
        <v>195</v>
      </c>
      <c r="L33" s="45" t="s">
        <v>196</v>
      </c>
      <c r="M33" s="45" t="s">
        <v>188</v>
      </c>
      <c r="N33" s="45" t="s">
        <v>197</v>
      </c>
      <c r="O33" s="51" t="s">
        <v>216</v>
      </c>
      <c r="P33" s="66" t="s">
        <v>219</v>
      </c>
      <c r="Q33" s="66" t="s">
        <v>215</v>
      </c>
      <c r="R33" s="67" t="s">
        <v>198</v>
      </c>
      <c r="S33" s="63"/>
    </row>
    <row r="34" spans="1:19" x14ac:dyDescent="0.2">
      <c r="A34" s="73" t="s">
        <v>183</v>
      </c>
      <c r="B34" s="26" t="s">
        <v>38</v>
      </c>
      <c r="C34" s="26" t="s">
        <v>39</v>
      </c>
      <c r="D34" s="26"/>
      <c r="E34" s="27">
        <v>20</v>
      </c>
      <c r="F34" s="27">
        <v>45</v>
      </c>
      <c r="G34" s="27" t="s">
        <v>93</v>
      </c>
      <c r="H34" s="28">
        <v>88689</v>
      </c>
      <c r="I34" s="28">
        <f>38832</f>
        <v>38832</v>
      </c>
      <c r="J34" s="28"/>
      <c r="K34" s="28">
        <f>H34+I34+J34</f>
        <v>127521</v>
      </c>
      <c r="L34" s="52"/>
      <c r="M34" s="52"/>
      <c r="N34" s="52"/>
      <c r="O34" s="61">
        <f t="shared" ref="O34:O45" si="4">K34+L34+M34+N34</f>
        <v>127521</v>
      </c>
      <c r="P34" s="52"/>
      <c r="Q34" s="52"/>
      <c r="R34" s="53">
        <f t="shared" si="1"/>
        <v>127521</v>
      </c>
      <c r="S34" s="22"/>
    </row>
    <row r="35" spans="1:19" x14ac:dyDescent="0.2">
      <c r="A35" s="74"/>
      <c r="B35" s="9" t="s">
        <v>40</v>
      </c>
      <c r="C35" s="9" t="s">
        <v>81</v>
      </c>
      <c r="D35" s="9"/>
      <c r="E35" s="8">
        <v>20</v>
      </c>
      <c r="F35" s="8">
        <v>5</v>
      </c>
      <c r="G35" s="8"/>
      <c r="H35" s="28">
        <v>15000</v>
      </c>
      <c r="I35" s="28"/>
      <c r="J35" s="28"/>
      <c r="K35" s="28">
        <f t="shared" ref="K35:K45" si="5">H35+I35+J35</f>
        <v>15000</v>
      </c>
      <c r="L35" s="52"/>
      <c r="M35" s="52"/>
      <c r="N35" s="52"/>
      <c r="O35" s="61">
        <f t="shared" si="4"/>
        <v>15000</v>
      </c>
      <c r="P35" s="53">
        <v>6000</v>
      </c>
      <c r="Q35" s="52"/>
      <c r="R35" s="53">
        <f t="shared" si="1"/>
        <v>21000</v>
      </c>
      <c r="S35" s="22"/>
    </row>
    <row r="36" spans="1:19" x14ac:dyDescent="0.2">
      <c r="A36" s="74"/>
      <c r="B36" s="9" t="s">
        <v>41</v>
      </c>
      <c r="C36" s="9" t="s">
        <v>75</v>
      </c>
      <c r="D36" s="9"/>
      <c r="E36" s="8">
        <v>20</v>
      </c>
      <c r="F36" s="8">
        <v>5</v>
      </c>
      <c r="G36" s="8"/>
      <c r="H36" s="28">
        <v>15000</v>
      </c>
      <c r="I36" s="28"/>
      <c r="J36" s="28"/>
      <c r="K36" s="28">
        <f t="shared" si="5"/>
        <v>15000</v>
      </c>
      <c r="L36" s="52"/>
      <c r="M36" s="52"/>
      <c r="N36" s="52"/>
      <c r="O36" s="61">
        <f t="shared" si="4"/>
        <v>15000</v>
      </c>
      <c r="P36" s="53">
        <v>-6000</v>
      </c>
      <c r="Q36" s="52"/>
      <c r="R36" s="53">
        <f t="shared" si="1"/>
        <v>9000</v>
      </c>
      <c r="S36" s="22"/>
    </row>
    <row r="37" spans="1:19" hidden="1" x14ac:dyDescent="0.2">
      <c r="A37" s="74"/>
      <c r="B37" s="9" t="s">
        <v>41</v>
      </c>
      <c r="C37" s="9" t="s">
        <v>75</v>
      </c>
      <c r="D37" s="9"/>
      <c r="E37" s="8">
        <v>20</v>
      </c>
      <c r="F37" s="8">
        <v>5</v>
      </c>
      <c r="G37" s="8" t="s">
        <v>199</v>
      </c>
      <c r="H37" s="28">
        <v>0</v>
      </c>
      <c r="I37" s="28"/>
      <c r="J37" s="28"/>
      <c r="K37" s="28">
        <f t="shared" si="5"/>
        <v>0</v>
      </c>
      <c r="L37" s="53">
        <v>-14500</v>
      </c>
      <c r="M37" s="53"/>
      <c r="N37" s="53">
        <v>14500</v>
      </c>
      <c r="O37" s="61">
        <f t="shared" si="4"/>
        <v>0</v>
      </c>
      <c r="P37" s="52"/>
      <c r="Q37" s="52"/>
      <c r="R37" s="53">
        <f t="shared" si="1"/>
        <v>0</v>
      </c>
      <c r="S37" s="22"/>
    </row>
    <row r="38" spans="1:19" x14ac:dyDescent="0.2">
      <c r="A38" s="74"/>
      <c r="B38" s="9" t="s">
        <v>200</v>
      </c>
      <c r="C38" s="9" t="s">
        <v>201</v>
      </c>
      <c r="D38" s="9"/>
      <c r="E38" s="8">
        <v>20</v>
      </c>
      <c r="F38" s="8">
        <v>5</v>
      </c>
      <c r="G38" s="8"/>
      <c r="H38" s="28">
        <v>0</v>
      </c>
      <c r="I38" s="28"/>
      <c r="J38" s="28"/>
      <c r="K38" s="28">
        <f t="shared" si="5"/>
        <v>0</v>
      </c>
      <c r="L38" s="53">
        <f>680991-11200</f>
        <v>669791</v>
      </c>
      <c r="M38" s="53"/>
      <c r="N38" s="53"/>
      <c r="O38" s="61">
        <f>K38+L38+M38+N38</f>
        <v>669791</v>
      </c>
      <c r="P38" s="13">
        <f>-65056-203312</f>
        <v>-268368</v>
      </c>
      <c r="Q38" s="52"/>
      <c r="R38" s="53">
        <f t="shared" si="1"/>
        <v>401423</v>
      </c>
      <c r="S38" s="22"/>
    </row>
    <row r="39" spans="1:19" x14ac:dyDescent="0.2">
      <c r="A39" s="75"/>
      <c r="B39" s="9" t="s">
        <v>200</v>
      </c>
      <c r="C39" s="9" t="s">
        <v>201</v>
      </c>
      <c r="D39" s="9"/>
      <c r="E39" s="8">
        <v>20</v>
      </c>
      <c r="F39" s="8">
        <v>41</v>
      </c>
      <c r="G39" s="8"/>
      <c r="H39" s="28">
        <v>0</v>
      </c>
      <c r="I39" s="28"/>
      <c r="J39" s="28"/>
      <c r="K39" s="28">
        <v>0</v>
      </c>
      <c r="L39" s="53">
        <v>11200</v>
      </c>
      <c r="M39" s="53"/>
      <c r="N39" s="53"/>
      <c r="O39" s="61">
        <f>K39+L39+M39+N39</f>
        <v>11200</v>
      </c>
      <c r="P39" s="52"/>
      <c r="Q39" s="52"/>
      <c r="R39" s="53">
        <f t="shared" si="1"/>
        <v>11200</v>
      </c>
      <c r="S39" s="22"/>
    </row>
    <row r="40" spans="1:19" x14ac:dyDescent="0.2">
      <c r="A40" s="79" t="s">
        <v>160</v>
      </c>
      <c r="B40" s="9" t="s">
        <v>42</v>
      </c>
      <c r="C40" s="9" t="s">
        <v>43</v>
      </c>
      <c r="D40" s="9"/>
      <c r="E40" s="8">
        <v>20</v>
      </c>
      <c r="F40" s="8">
        <v>5</v>
      </c>
      <c r="G40" s="8"/>
      <c r="H40" s="28">
        <v>80000</v>
      </c>
      <c r="I40" s="28"/>
      <c r="J40" s="28"/>
      <c r="K40" s="28">
        <f t="shared" si="5"/>
        <v>80000</v>
      </c>
      <c r="L40" s="52"/>
      <c r="M40" s="52"/>
      <c r="N40" s="52"/>
      <c r="O40" s="61">
        <f t="shared" si="4"/>
        <v>80000</v>
      </c>
      <c r="P40" s="13">
        <v>-161</v>
      </c>
      <c r="Q40" s="52"/>
      <c r="R40" s="53">
        <f t="shared" si="1"/>
        <v>79839</v>
      </c>
      <c r="S40" s="22"/>
    </row>
    <row r="41" spans="1:19" x14ac:dyDescent="0.2">
      <c r="A41" s="79"/>
      <c r="B41" s="9" t="s">
        <v>42</v>
      </c>
      <c r="C41" s="9" t="s">
        <v>43</v>
      </c>
      <c r="D41" s="9"/>
      <c r="E41" s="8">
        <v>20</v>
      </c>
      <c r="F41" s="8">
        <v>45</v>
      </c>
      <c r="G41" s="8"/>
      <c r="H41" s="28">
        <v>0</v>
      </c>
      <c r="I41" s="28"/>
      <c r="J41" s="28"/>
      <c r="K41" s="28">
        <f t="shared" si="5"/>
        <v>0</v>
      </c>
      <c r="L41" s="52"/>
      <c r="M41" s="52"/>
      <c r="N41" s="52"/>
      <c r="O41" s="61">
        <f t="shared" si="4"/>
        <v>0</v>
      </c>
      <c r="P41" s="13">
        <v>161</v>
      </c>
      <c r="Q41" s="52"/>
      <c r="R41" s="53">
        <f t="shared" si="1"/>
        <v>161</v>
      </c>
      <c r="S41" s="22"/>
    </row>
    <row r="42" spans="1:19" x14ac:dyDescent="0.2">
      <c r="A42" s="79"/>
      <c r="B42" s="9" t="s">
        <v>42</v>
      </c>
      <c r="C42" s="9" t="s">
        <v>43</v>
      </c>
      <c r="D42" s="9" t="s">
        <v>175</v>
      </c>
      <c r="E42" s="8">
        <v>40</v>
      </c>
      <c r="F42" s="8">
        <v>5</v>
      </c>
      <c r="G42" s="8"/>
      <c r="H42" s="28">
        <v>2070676</v>
      </c>
      <c r="I42" s="28"/>
      <c r="J42" s="28"/>
      <c r="K42" s="28">
        <f t="shared" si="5"/>
        <v>2070676</v>
      </c>
      <c r="L42" s="18">
        <f>-114735-16356</f>
        <v>-131091</v>
      </c>
      <c r="M42" s="52"/>
      <c r="N42" s="52"/>
      <c r="O42" s="61">
        <f t="shared" si="4"/>
        <v>1939585</v>
      </c>
      <c r="P42" s="52"/>
      <c r="Q42" s="52"/>
      <c r="R42" s="53">
        <f t="shared" si="1"/>
        <v>1939585</v>
      </c>
      <c r="S42" s="22"/>
    </row>
    <row r="43" spans="1:19" x14ac:dyDescent="0.2">
      <c r="A43" s="79"/>
      <c r="B43" s="9" t="s">
        <v>42</v>
      </c>
      <c r="C43" s="9" t="s">
        <v>43</v>
      </c>
      <c r="D43" s="9" t="s">
        <v>175</v>
      </c>
      <c r="E43" s="8">
        <v>40</v>
      </c>
      <c r="F43" s="8">
        <v>45</v>
      </c>
      <c r="G43" s="8"/>
      <c r="H43" s="28">
        <v>0</v>
      </c>
      <c r="I43" s="28"/>
      <c r="J43" s="28"/>
      <c r="K43" s="28">
        <f t="shared" si="5"/>
        <v>0</v>
      </c>
      <c r="L43" s="18">
        <f>114735+16356</f>
        <v>131091</v>
      </c>
      <c r="M43" s="52"/>
      <c r="N43" s="52"/>
      <c r="O43" s="61">
        <f t="shared" si="4"/>
        <v>131091</v>
      </c>
      <c r="P43" s="52"/>
      <c r="Q43" s="52"/>
      <c r="R43" s="53">
        <f t="shared" si="1"/>
        <v>131091</v>
      </c>
      <c r="S43" s="22"/>
    </row>
    <row r="44" spans="1:19" x14ac:dyDescent="0.2">
      <c r="A44" s="79"/>
      <c r="B44" s="9" t="s">
        <v>44</v>
      </c>
      <c r="C44" s="9" t="s">
        <v>45</v>
      </c>
      <c r="D44" s="9"/>
      <c r="E44" s="8">
        <v>20</v>
      </c>
      <c r="F44" s="8">
        <v>45</v>
      </c>
      <c r="G44" s="8" t="s">
        <v>93</v>
      </c>
      <c r="H44" s="28">
        <v>8605</v>
      </c>
      <c r="I44" s="28"/>
      <c r="J44" s="28"/>
      <c r="K44" s="28">
        <f t="shared" si="5"/>
        <v>8605</v>
      </c>
      <c r="L44" s="52"/>
      <c r="M44" s="52"/>
      <c r="N44" s="52"/>
      <c r="O44" s="61">
        <f t="shared" si="4"/>
        <v>8605</v>
      </c>
      <c r="P44" s="52"/>
      <c r="Q44" s="52"/>
      <c r="R44" s="53">
        <f t="shared" si="1"/>
        <v>8605</v>
      </c>
      <c r="S44" s="22"/>
    </row>
    <row r="45" spans="1:19" x14ac:dyDescent="0.2">
      <c r="A45" s="39" t="s">
        <v>161</v>
      </c>
      <c r="B45" s="40" t="s">
        <v>46</v>
      </c>
      <c r="C45" s="40" t="s">
        <v>89</v>
      </c>
      <c r="D45" s="40"/>
      <c r="E45" s="42">
        <v>20</v>
      </c>
      <c r="F45" s="42">
        <v>5</v>
      </c>
      <c r="G45" s="42"/>
      <c r="H45" s="43">
        <v>25700</v>
      </c>
      <c r="I45" s="43"/>
      <c r="J45" s="43"/>
      <c r="K45" s="43">
        <f t="shared" si="5"/>
        <v>25700</v>
      </c>
      <c r="L45" s="52"/>
      <c r="M45" s="52"/>
      <c r="N45" s="52"/>
      <c r="O45" s="61">
        <f t="shared" si="4"/>
        <v>25700</v>
      </c>
      <c r="P45" s="52"/>
      <c r="Q45" s="52"/>
      <c r="R45" s="53">
        <f t="shared" si="1"/>
        <v>25700</v>
      </c>
      <c r="S45" s="22"/>
    </row>
    <row r="46" spans="1:19" s="32" customFormat="1" ht="15" x14ac:dyDescent="0.25">
      <c r="A46" s="56" t="s">
        <v>178</v>
      </c>
      <c r="B46" s="46"/>
      <c r="C46" s="46"/>
      <c r="D46" s="46"/>
      <c r="E46" s="47"/>
      <c r="F46" s="47"/>
      <c r="G46" s="47"/>
      <c r="H46" s="50"/>
      <c r="I46" s="48"/>
      <c r="J46" s="48"/>
      <c r="K46" s="57"/>
      <c r="L46" s="48"/>
      <c r="M46" s="48"/>
      <c r="N46" s="48"/>
      <c r="O46" s="57"/>
      <c r="R46" s="68"/>
    </row>
    <row r="47" spans="1:19" s="33" customFormat="1" ht="48" x14ac:dyDescent="0.2">
      <c r="A47" s="44" t="s">
        <v>0</v>
      </c>
      <c r="B47" s="44" t="s">
        <v>1</v>
      </c>
      <c r="C47" s="44" t="s">
        <v>2</v>
      </c>
      <c r="D47" s="44" t="s">
        <v>172</v>
      </c>
      <c r="E47" s="44" t="s">
        <v>90</v>
      </c>
      <c r="F47" s="44" t="s">
        <v>3</v>
      </c>
      <c r="G47" s="44" t="s">
        <v>91</v>
      </c>
      <c r="H47" s="45" t="s">
        <v>179</v>
      </c>
      <c r="I47" s="45" t="s">
        <v>193</v>
      </c>
      <c r="J47" s="45" t="s">
        <v>188</v>
      </c>
      <c r="K47" s="45" t="s">
        <v>195</v>
      </c>
      <c r="L47" s="45" t="s">
        <v>196</v>
      </c>
      <c r="M47" s="45" t="s">
        <v>188</v>
      </c>
      <c r="N47" s="45" t="s">
        <v>197</v>
      </c>
      <c r="O47" s="51" t="s">
        <v>216</v>
      </c>
      <c r="P47" s="66" t="s">
        <v>219</v>
      </c>
      <c r="Q47" s="66" t="s">
        <v>215</v>
      </c>
      <c r="R47" s="66" t="s">
        <v>198</v>
      </c>
      <c r="S47" s="63"/>
    </row>
    <row r="48" spans="1:19" x14ac:dyDescent="0.2">
      <c r="A48" s="79" t="s">
        <v>183</v>
      </c>
      <c r="B48" s="9" t="s">
        <v>47</v>
      </c>
      <c r="C48" s="9" t="s">
        <v>48</v>
      </c>
      <c r="D48" s="9"/>
      <c r="E48" s="8">
        <v>20</v>
      </c>
      <c r="F48" s="8">
        <v>5</v>
      </c>
      <c r="G48" s="8"/>
      <c r="H48" s="28">
        <v>83500</v>
      </c>
      <c r="I48" s="28"/>
      <c r="J48" s="28"/>
      <c r="K48" s="28">
        <f>H48+I48+J48</f>
        <v>83500</v>
      </c>
      <c r="L48" s="18"/>
      <c r="M48" s="18"/>
      <c r="N48" s="18"/>
      <c r="O48" s="69">
        <f t="shared" ref="O48:O55" si="6">K48+L48+M48+N48</f>
        <v>83500</v>
      </c>
      <c r="P48" s="53">
        <v>-5000</v>
      </c>
      <c r="Q48" s="52"/>
      <c r="R48" s="53">
        <f t="shared" si="1"/>
        <v>78500</v>
      </c>
      <c r="S48" s="62"/>
    </row>
    <row r="49" spans="1:19" x14ac:dyDescent="0.2">
      <c r="A49" s="79"/>
      <c r="B49" s="9" t="s">
        <v>202</v>
      </c>
      <c r="C49" s="9" t="s">
        <v>203</v>
      </c>
      <c r="D49" s="9"/>
      <c r="E49" s="8">
        <v>20</v>
      </c>
      <c r="F49" s="8">
        <v>5</v>
      </c>
      <c r="G49" s="8"/>
      <c r="H49" s="28">
        <v>0</v>
      </c>
      <c r="I49" s="28"/>
      <c r="J49" s="28"/>
      <c r="K49" s="28">
        <f>H49+I49+J49</f>
        <v>0</v>
      </c>
      <c r="L49" s="18">
        <v>40816</v>
      </c>
      <c r="M49" s="18"/>
      <c r="N49" s="18"/>
      <c r="O49" s="69">
        <f t="shared" si="6"/>
        <v>40816</v>
      </c>
      <c r="P49" s="52"/>
      <c r="Q49" s="52"/>
      <c r="R49" s="53">
        <f t="shared" si="1"/>
        <v>40816</v>
      </c>
      <c r="S49" s="62"/>
    </row>
    <row r="50" spans="1:19" x14ac:dyDescent="0.2">
      <c r="A50" s="79"/>
      <c r="B50" s="9" t="s">
        <v>49</v>
      </c>
      <c r="C50" s="9" t="s">
        <v>85</v>
      </c>
      <c r="D50" s="9"/>
      <c r="E50" s="8">
        <v>20</v>
      </c>
      <c r="F50" s="8">
        <v>452</v>
      </c>
      <c r="G50" s="8"/>
      <c r="H50" s="28">
        <v>965300</v>
      </c>
      <c r="I50" s="28"/>
      <c r="J50" s="28"/>
      <c r="K50" s="28">
        <f>H50+I50+J50</f>
        <v>965300</v>
      </c>
      <c r="L50" s="18"/>
      <c r="M50" s="18"/>
      <c r="N50" s="18"/>
      <c r="O50" s="69">
        <f t="shared" si="6"/>
        <v>965300</v>
      </c>
      <c r="P50" s="52"/>
      <c r="Q50" s="52"/>
      <c r="R50" s="53">
        <f t="shared" si="1"/>
        <v>965300</v>
      </c>
      <c r="S50" s="62"/>
    </row>
    <row r="51" spans="1:19" x14ac:dyDescent="0.2">
      <c r="A51" s="79"/>
      <c r="B51" s="9" t="s">
        <v>50</v>
      </c>
      <c r="C51" s="9" t="s">
        <v>51</v>
      </c>
      <c r="D51" s="9"/>
      <c r="E51" s="8">
        <v>20</v>
      </c>
      <c r="F51" s="8">
        <v>41</v>
      </c>
      <c r="G51" s="8"/>
      <c r="H51" s="28">
        <v>3000</v>
      </c>
      <c r="I51" s="28"/>
      <c r="J51" s="28"/>
      <c r="K51" s="28">
        <f t="shared" ref="K51:K55" si="7">H51+I51+J51</f>
        <v>3000</v>
      </c>
      <c r="L51" s="18"/>
      <c r="M51" s="18"/>
      <c r="N51" s="18"/>
      <c r="O51" s="69">
        <f t="shared" si="6"/>
        <v>3000</v>
      </c>
      <c r="P51" s="52"/>
      <c r="Q51" s="52"/>
      <c r="R51" s="53">
        <f t="shared" si="1"/>
        <v>3000</v>
      </c>
      <c r="S51" s="62"/>
    </row>
    <row r="52" spans="1:19" x14ac:dyDescent="0.2">
      <c r="A52" s="79"/>
      <c r="B52" s="9" t="s">
        <v>52</v>
      </c>
      <c r="C52" s="9" t="s">
        <v>80</v>
      </c>
      <c r="D52" s="9"/>
      <c r="E52" s="8">
        <v>20</v>
      </c>
      <c r="F52" s="8">
        <v>5</v>
      </c>
      <c r="G52" s="8"/>
      <c r="H52" s="28">
        <v>10000</v>
      </c>
      <c r="I52" s="28"/>
      <c r="J52" s="28"/>
      <c r="K52" s="28">
        <f t="shared" si="7"/>
        <v>10000</v>
      </c>
      <c r="L52" s="18"/>
      <c r="M52" s="18"/>
      <c r="N52" s="18"/>
      <c r="O52" s="69">
        <f t="shared" si="6"/>
        <v>10000</v>
      </c>
      <c r="P52" s="53">
        <v>5000</v>
      </c>
      <c r="Q52" s="52"/>
      <c r="R52" s="53">
        <f t="shared" si="1"/>
        <v>15000</v>
      </c>
      <c r="S52" s="62"/>
    </row>
    <row r="53" spans="1:19" x14ac:dyDescent="0.2">
      <c r="A53" s="36" t="s">
        <v>162</v>
      </c>
      <c r="B53" s="9" t="s">
        <v>53</v>
      </c>
      <c r="C53" s="9" t="s">
        <v>54</v>
      </c>
      <c r="D53" s="9"/>
      <c r="E53" s="8">
        <v>20</v>
      </c>
      <c r="F53" s="8">
        <v>5</v>
      </c>
      <c r="G53" s="8"/>
      <c r="H53" s="28">
        <v>16500</v>
      </c>
      <c r="I53" s="28"/>
      <c r="J53" s="28"/>
      <c r="K53" s="28">
        <f t="shared" si="7"/>
        <v>16500</v>
      </c>
      <c r="L53" s="18"/>
      <c r="M53" s="18"/>
      <c r="N53" s="18"/>
      <c r="O53" s="69">
        <f t="shared" si="6"/>
        <v>16500</v>
      </c>
      <c r="P53" s="52"/>
      <c r="Q53" s="52"/>
      <c r="R53" s="53">
        <f t="shared" si="1"/>
        <v>16500</v>
      </c>
      <c r="S53" s="62"/>
    </row>
    <row r="54" spans="1:19" x14ac:dyDescent="0.2">
      <c r="A54" s="36" t="s">
        <v>163</v>
      </c>
      <c r="B54" s="9" t="s">
        <v>55</v>
      </c>
      <c r="C54" s="9" t="s">
        <v>76</v>
      </c>
      <c r="D54" s="9"/>
      <c r="E54" s="8">
        <v>20</v>
      </c>
      <c r="F54" s="8">
        <v>45</v>
      </c>
      <c r="G54" s="8" t="s">
        <v>93</v>
      </c>
      <c r="H54" s="28">
        <v>18500</v>
      </c>
      <c r="I54" s="28"/>
      <c r="J54" s="28"/>
      <c r="K54" s="28">
        <f t="shared" si="7"/>
        <v>18500</v>
      </c>
      <c r="L54" s="18"/>
      <c r="M54" s="18"/>
      <c r="N54" s="18"/>
      <c r="O54" s="69">
        <f t="shared" si="6"/>
        <v>18500</v>
      </c>
      <c r="P54" s="52"/>
      <c r="Q54" s="52"/>
      <c r="R54" s="53">
        <f t="shared" si="1"/>
        <v>18500</v>
      </c>
      <c r="S54" s="62"/>
    </row>
    <row r="55" spans="1:19" x14ac:dyDescent="0.2">
      <c r="A55" s="10" t="s">
        <v>164</v>
      </c>
      <c r="B55" s="40" t="s">
        <v>77</v>
      </c>
      <c r="C55" s="40" t="s">
        <v>146</v>
      </c>
      <c r="D55" s="40"/>
      <c r="E55" s="42">
        <v>20</v>
      </c>
      <c r="F55" s="42">
        <v>45</v>
      </c>
      <c r="G55" s="42" t="s">
        <v>93</v>
      </c>
      <c r="H55" s="43">
        <v>28000</v>
      </c>
      <c r="I55" s="43"/>
      <c r="J55" s="43"/>
      <c r="K55" s="43">
        <f t="shared" si="7"/>
        <v>28000</v>
      </c>
      <c r="L55" s="18"/>
      <c r="M55" s="18"/>
      <c r="N55" s="18"/>
      <c r="O55" s="69">
        <f t="shared" si="6"/>
        <v>28000</v>
      </c>
      <c r="P55" s="52"/>
      <c r="Q55" s="52"/>
      <c r="R55" s="53">
        <f t="shared" si="1"/>
        <v>28000</v>
      </c>
      <c r="S55" s="62"/>
    </row>
    <row r="56" spans="1:19" ht="15" x14ac:dyDescent="0.25">
      <c r="A56" s="56" t="s">
        <v>180</v>
      </c>
      <c r="B56" s="46"/>
      <c r="C56" s="46"/>
      <c r="D56" s="46"/>
      <c r="E56" s="47"/>
      <c r="F56" s="47"/>
      <c r="G56" s="47"/>
      <c r="H56" s="50"/>
      <c r="I56" s="48"/>
      <c r="J56" s="48"/>
      <c r="K56" s="57"/>
      <c r="L56" s="48"/>
      <c r="M56" s="48"/>
      <c r="N56" s="48"/>
      <c r="O56" s="57"/>
      <c r="P56" s="22"/>
      <c r="R56" s="12"/>
      <c r="S56" s="62"/>
    </row>
    <row r="57" spans="1:19" ht="48" x14ac:dyDescent="0.2">
      <c r="A57" s="44" t="s">
        <v>0</v>
      </c>
      <c r="B57" s="44" t="s">
        <v>1</v>
      </c>
      <c r="C57" s="44" t="s">
        <v>2</v>
      </c>
      <c r="D57" s="44" t="s">
        <v>172</v>
      </c>
      <c r="E57" s="44" t="s">
        <v>90</v>
      </c>
      <c r="F57" s="44" t="s">
        <v>3</v>
      </c>
      <c r="G57" s="44" t="s">
        <v>91</v>
      </c>
      <c r="H57" s="45" t="s">
        <v>179</v>
      </c>
      <c r="I57" s="45" t="s">
        <v>193</v>
      </c>
      <c r="J57" s="45" t="s">
        <v>188</v>
      </c>
      <c r="K57" s="45" t="s">
        <v>195</v>
      </c>
      <c r="L57" s="45" t="s">
        <v>196</v>
      </c>
      <c r="M57" s="45" t="s">
        <v>188</v>
      </c>
      <c r="N57" s="45" t="s">
        <v>197</v>
      </c>
      <c r="O57" s="51" t="s">
        <v>216</v>
      </c>
      <c r="P57" s="51" t="s">
        <v>219</v>
      </c>
      <c r="Q57" s="51" t="s">
        <v>215</v>
      </c>
      <c r="R57" s="51" t="s">
        <v>198</v>
      </c>
      <c r="S57" s="62"/>
    </row>
    <row r="58" spans="1:19" s="17" customFormat="1" x14ac:dyDescent="0.2">
      <c r="A58" s="73" t="s">
        <v>183</v>
      </c>
      <c r="B58" s="9" t="s">
        <v>204</v>
      </c>
      <c r="C58" s="9" t="s">
        <v>118</v>
      </c>
      <c r="D58" s="19" t="s">
        <v>176</v>
      </c>
      <c r="E58" s="8">
        <v>20</v>
      </c>
      <c r="F58" s="8">
        <v>15</v>
      </c>
      <c r="G58" s="8" t="s">
        <v>96</v>
      </c>
      <c r="H58" s="28">
        <v>58290</v>
      </c>
      <c r="I58" s="28"/>
      <c r="J58" s="28"/>
      <c r="K58" s="28">
        <f>H58+I58+J58</f>
        <v>58290</v>
      </c>
      <c r="L58" s="28">
        <v>-18250</v>
      </c>
      <c r="M58" s="28">
        <v>3218</v>
      </c>
      <c r="N58" s="28"/>
      <c r="O58" s="28">
        <f t="shared" ref="O58:O84" si="8">K58+L58+M58+N58</f>
        <v>43258</v>
      </c>
      <c r="P58" s="13">
        <v>-31319</v>
      </c>
      <c r="Q58" s="70"/>
      <c r="R58" s="53">
        <f t="shared" si="1"/>
        <v>11939</v>
      </c>
      <c r="S58" s="64"/>
    </row>
    <row r="59" spans="1:19" s="17" customFormat="1" hidden="1" x14ac:dyDescent="0.2">
      <c r="A59" s="74"/>
      <c r="B59" s="9" t="s">
        <v>204</v>
      </c>
      <c r="C59" s="9" t="s">
        <v>118</v>
      </c>
      <c r="D59" s="19" t="s">
        <v>176</v>
      </c>
      <c r="E59" s="8">
        <v>20</v>
      </c>
      <c r="F59" s="8">
        <v>15</v>
      </c>
      <c r="G59" s="8" t="s">
        <v>205</v>
      </c>
      <c r="H59" s="28">
        <v>0</v>
      </c>
      <c r="I59" s="28"/>
      <c r="J59" s="28"/>
      <c r="K59" s="28">
        <f t="shared" ref="K59:K63" si="9">H59+I59+J59</f>
        <v>0</v>
      </c>
      <c r="L59" s="28">
        <v>-120000</v>
      </c>
      <c r="M59" s="28"/>
      <c r="N59" s="28">
        <v>120000</v>
      </c>
      <c r="O59" s="28">
        <f t="shared" si="8"/>
        <v>0</v>
      </c>
      <c r="P59" s="70"/>
      <c r="Q59" s="70"/>
      <c r="R59" s="53">
        <f t="shared" si="1"/>
        <v>0</v>
      </c>
      <c r="S59" s="64"/>
    </row>
    <row r="60" spans="1:19" s="17" customFormat="1" hidden="1" x14ac:dyDescent="0.2">
      <c r="A60" s="74"/>
      <c r="B60" s="9" t="s">
        <v>204</v>
      </c>
      <c r="C60" s="9" t="s">
        <v>118</v>
      </c>
      <c r="D60" s="19" t="s">
        <v>176</v>
      </c>
      <c r="E60" s="8">
        <v>20</v>
      </c>
      <c r="F60" s="8">
        <v>15</v>
      </c>
      <c r="G60" s="8" t="s">
        <v>206</v>
      </c>
      <c r="H60" s="28">
        <v>0</v>
      </c>
      <c r="I60" s="28"/>
      <c r="J60" s="28"/>
      <c r="K60" s="28">
        <f t="shared" si="9"/>
        <v>0</v>
      </c>
      <c r="L60" s="28">
        <v>-1045000</v>
      </c>
      <c r="M60" s="28"/>
      <c r="N60" s="28">
        <v>1045000</v>
      </c>
      <c r="O60" s="28">
        <f t="shared" si="8"/>
        <v>0</v>
      </c>
      <c r="P60" s="70"/>
      <c r="Q60" s="70"/>
      <c r="R60" s="53">
        <f t="shared" si="1"/>
        <v>0</v>
      </c>
      <c r="S60" s="64"/>
    </row>
    <row r="61" spans="1:19" s="17" customFormat="1" hidden="1" x14ac:dyDescent="0.2">
      <c r="A61" s="74"/>
      <c r="B61" s="9" t="s">
        <v>204</v>
      </c>
      <c r="C61" s="9" t="s">
        <v>118</v>
      </c>
      <c r="D61" s="19" t="s">
        <v>176</v>
      </c>
      <c r="E61" s="8">
        <v>20</v>
      </c>
      <c r="F61" s="8">
        <v>15</v>
      </c>
      <c r="G61" s="8" t="s">
        <v>207</v>
      </c>
      <c r="H61" s="28">
        <v>0</v>
      </c>
      <c r="I61" s="28"/>
      <c r="J61" s="28"/>
      <c r="K61" s="28">
        <f t="shared" si="9"/>
        <v>0</v>
      </c>
      <c r="L61" s="28">
        <v>-135000</v>
      </c>
      <c r="M61" s="28"/>
      <c r="N61" s="28">
        <v>135000</v>
      </c>
      <c r="O61" s="28">
        <f t="shared" si="8"/>
        <v>0</v>
      </c>
      <c r="P61" s="70"/>
      <c r="Q61" s="70"/>
      <c r="R61" s="53">
        <f t="shared" si="1"/>
        <v>0</v>
      </c>
      <c r="S61" s="64"/>
    </row>
    <row r="62" spans="1:19" s="17" customFormat="1" hidden="1" x14ac:dyDescent="0.2">
      <c r="A62" s="74"/>
      <c r="B62" s="9" t="s">
        <v>204</v>
      </c>
      <c r="C62" s="9" t="s">
        <v>118</v>
      </c>
      <c r="D62" s="19" t="s">
        <v>176</v>
      </c>
      <c r="E62" s="8">
        <v>20</v>
      </c>
      <c r="F62" s="8">
        <v>15</v>
      </c>
      <c r="G62" s="8" t="s">
        <v>208</v>
      </c>
      <c r="H62" s="28">
        <v>0</v>
      </c>
      <c r="I62" s="28"/>
      <c r="J62" s="28"/>
      <c r="K62" s="28">
        <f t="shared" si="9"/>
        <v>0</v>
      </c>
      <c r="L62" s="28">
        <v>-600000</v>
      </c>
      <c r="M62" s="28"/>
      <c r="N62" s="28">
        <v>600000</v>
      </c>
      <c r="O62" s="28">
        <f t="shared" si="8"/>
        <v>0</v>
      </c>
      <c r="P62" s="70"/>
      <c r="Q62" s="70"/>
      <c r="R62" s="53">
        <f t="shared" si="1"/>
        <v>0</v>
      </c>
      <c r="S62" s="64"/>
    </row>
    <row r="63" spans="1:19" s="17" customFormat="1" x14ac:dyDescent="0.2">
      <c r="A63" s="75"/>
      <c r="B63" s="9" t="s">
        <v>209</v>
      </c>
      <c r="C63" s="9" t="s">
        <v>210</v>
      </c>
      <c r="D63" s="19"/>
      <c r="E63" s="8">
        <v>20</v>
      </c>
      <c r="F63" s="8">
        <v>5</v>
      </c>
      <c r="G63" s="8"/>
      <c r="H63" s="58">
        <v>0</v>
      </c>
      <c r="I63" s="28"/>
      <c r="J63" s="28"/>
      <c r="K63" s="28">
        <f t="shared" si="9"/>
        <v>0</v>
      </c>
      <c r="L63" s="28">
        <v>350000</v>
      </c>
      <c r="M63" s="28"/>
      <c r="N63" s="28"/>
      <c r="O63" s="28">
        <f t="shared" si="8"/>
        <v>350000</v>
      </c>
      <c r="P63" s="13">
        <v>-141698</v>
      </c>
      <c r="Q63" s="70"/>
      <c r="R63" s="53">
        <f t="shared" si="1"/>
        <v>208302</v>
      </c>
      <c r="S63" s="64"/>
    </row>
    <row r="64" spans="1:19" x14ac:dyDescent="0.2">
      <c r="A64" s="73" t="s">
        <v>184</v>
      </c>
      <c r="B64" s="9" t="s">
        <v>56</v>
      </c>
      <c r="C64" s="9" t="s">
        <v>78</v>
      </c>
      <c r="D64" s="9"/>
      <c r="E64" s="8">
        <v>20</v>
      </c>
      <c r="F64" s="8">
        <v>5</v>
      </c>
      <c r="G64" s="8"/>
      <c r="H64" s="28">
        <v>7600</v>
      </c>
      <c r="I64" s="28"/>
      <c r="J64" s="28"/>
      <c r="K64" s="28">
        <f t="shared" ref="K64:K84" si="10">H64+I64+J64</f>
        <v>7600</v>
      </c>
      <c r="L64" s="28"/>
      <c r="M64" s="28"/>
      <c r="N64" s="28"/>
      <c r="O64" s="28">
        <f t="shared" si="8"/>
        <v>7600</v>
      </c>
      <c r="P64" s="52"/>
      <c r="Q64" s="52"/>
      <c r="R64" s="53">
        <f t="shared" si="1"/>
        <v>7600</v>
      </c>
      <c r="S64" s="62"/>
    </row>
    <row r="65" spans="1:19" x14ac:dyDescent="0.2">
      <c r="A65" s="74"/>
      <c r="B65" s="9" t="s">
        <v>57</v>
      </c>
      <c r="C65" s="9" t="s">
        <v>58</v>
      </c>
      <c r="D65" s="9"/>
      <c r="E65" s="8">
        <v>20</v>
      </c>
      <c r="F65" s="8">
        <v>45</v>
      </c>
      <c r="G65" s="8" t="s">
        <v>93</v>
      </c>
      <c r="H65" s="28">
        <v>3500</v>
      </c>
      <c r="I65" s="28"/>
      <c r="J65" s="28"/>
      <c r="K65" s="28">
        <f t="shared" si="10"/>
        <v>3500</v>
      </c>
      <c r="L65" s="28"/>
      <c r="M65" s="28"/>
      <c r="N65" s="28"/>
      <c r="O65" s="28">
        <f t="shared" si="8"/>
        <v>3500</v>
      </c>
      <c r="P65" s="52"/>
      <c r="Q65" s="52"/>
      <c r="R65" s="53">
        <f t="shared" si="1"/>
        <v>3500</v>
      </c>
      <c r="S65" s="62"/>
    </row>
    <row r="66" spans="1:19" s="17" customFormat="1" x14ac:dyDescent="0.2">
      <c r="A66" s="74"/>
      <c r="B66" s="9" t="s">
        <v>127</v>
      </c>
      <c r="C66" s="9" t="s">
        <v>119</v>
      </c>
      <c r="D66" s="19" t="s">
        <v>176</v>
      </c>
      <c r="E66" s="8">
        <v>20</v>
      </c>
      <c r="F66" s="8">
        <v>5</v>
      </c>
      <c r="G66" s="8"/>
      <c r="H66" s="28">
        <v>648430</v>
      </c>
      <c r="I66" s="18">
        <v>-263247</v>
      </c>
      <c r="J66" s="28"/>
      <c r="K66" s="28">
        <f t="shared" si="10"/>
        <v>385183</v>
      </c>
      <c r="L66" s="28">
        <v>-28671</v>
      </c>
      <c r="M66" s="28">
        <v>525406</v>
      </c>
      <c r="N66" s="28"/>
      <c r="O66" s="28">
        <f t="shared" si="8"/>
        <v>881918</v>
      </c>
      <c r="P66" s="71">
        <f>-346153-2750-11613</f>
        <v>-360516</v>
      </c>
      <c r="Q66" s="70"/>
      <c r="R66" s="53">
        <f t="shared" si="1"/>
        <v>521402</v>
      </c>
      <c r="S66" s="64"/>
    </row>
    <row r="67" spans="1:19" s="17" customFormat="1" hidden="1" x14ac:dyDescent="0.2">
      <c r="A67" s="74"/>
      <c r="B67" s="9" t="s">
        <v>127</v>
      </c>
      <c r="C67" s="9" t="s">
        <v>119</v>
      </c>
      <c r="D67" s="19" t="s">
        <v>176</v>
      </c>
      <c r="E67" s="8">
        <v>20</v>
      </c>
      <c r="F67" s="8">
        <v>5</v>
      </c>
      <c r="G67" s="8" t="s">
        <v>199</v>
      </c>
      <c r="H67" s="28">
        <v>0</v>
      </c>
      <c r="I67" s="18"/>
      <c r="J67" s="28"/>
      <c r="K67" s="28">
        <f t="shared" si="10"/>
        <v>0</v>
      </c>
      <c r="L67" s="28">
        <v>-540000</v>
      </c>
      <c r="M67" s="28"/>
      <c r="N67" s="28">
        <v>540000</v>
      </c>
      <c r="O67" s="28">
        <f t="shared" si="8"/>
        <v>0</v>
      </c>
      <c r="P67" s="70"/>
      <c r="Q67" s="70"/>
      <c r="R67" s="53">
        <f t="shared" si="1"/>
        <v>0</v>
      </c>
      <c r="S67" s="64"/>
    </row>
    <row r="68" spans="1:19" ht="12" customHeight="1" x14ac:dyDescent="0.2">
      <c r="A68" s="74"/>
      <c r="B68" s="9" t="s">
        <v>59</v>
      </c>
      <c r="C68" s="9" t="s">
        <v>187</v>
      </c>
      <c r="D68" s="9"/>
      <c r="E68" s="8">
        <v>20</v>
      </c>
      <c r="F68" s="8">
        <v>41</v>
      </c>
      <c r="G68" s="8"/>
      <c r="H68" s="28">
        <v>1600</v>
      </c>
      <c r="I68" s="28"/>
      <c r="J68" s="28"/>
      <c r="K68" s="28">
        <f t="shared" si="10"/>
        <v>1600</v>
      </c>
      <c r="L68" s="28"/>
      <c r="M68" s="28"/>
      <c r="N68" s="28"/>
      <c r="O68" s="28">
        <f t="shared" si="8"/>
        <v>1600</v>
      </c>
      <c r="P68" s="52"/>
      <c r="Q68" s="52"/>
      <c r="R68" s="53">
        <f t="shared" si="1"/>
        <v>1600</v>
      </c>
      <c r="S68" s="62"/>
    </row>
    <row r="69" spans="1:19" x14ac:dyDescent="0.2">
      <c r="A69" s="75"/>
      <c r="B69" s="9" t="s">
        <v>60</v>
      </c>
      <c r="C69" s="9" t="s">
        <v>61</v>
      </c>
      <c r="D69" s="9"/>
      <c r="E69" s="8">
        <v>20</v>
      </c>
      <c r="F69" s="8">
        <v>45</v>
      </c>
      <c r="G69" s="8"/>
      <c r="H69" s="28">
        <v>160000</v>
      </c>
      <c r="I69" s="28"/>
      <c r="J69" s="28"/>
      <c r="K69" s="28">
        <f t="shared" si="10"/>
        <v>160000</v>
      </c>
      <c r="L69" s="28"/>
      <c r="M69" s="28"/>
      <c r="N69" s="28"/>
      <c r="O69" s="28">
        <f t="shared" si="8"/>
        <v>160000</v>
      </c>
      <c r="P69" s="52"/>
      <c r="Q69" s="52"/>
      <c r="R69" s="53">
        <f t="shared" si="1"/>
        <v>160000</v>
      </c>
      <c r="S69" s="62"/>
    </row>
    <row r="70" spans="1:19" s="17" customFormat="1" x14ac:dyDescent="0.2">
      <c r="A70" s="59" t="s">
        <v>214</v>
      </c>
      <c r="B70" s="9" t="s">
        <v>128</v>
      </c>
      <c r="C70" s="9" t="s">
        <v>120</v>
      </c>
      <c r="D70" s="19" t="s">
        <v>176</v>
      </c>
      <c r="E70" s="8">
        <v>20</v>
      </c>
      <c r="F70" s="8">
        <v>5</v>
      </c>
      <c r="G70" s="8"/>
      <c r="H70" s="28">
        <v>175455</v>
      </c>
      <c r="I70" s="28"/>
      <c r="J70" s="28"/>
      <c r="K70" s="28">
        <f t="shared" si="10"/>
        <v>175455</v>
      </c>
      <c r="L70" s="28"/>
      <c r="M70" s="28"/>
      <c r="N70" s="28"/>
      <c r="O70" s="28">
        <f t="shared" si="8"/>
        <v>175455</v>
      </c>
      <c r="P70" s="72">
        <v>-28058</v>
      </c>
      <c r="Q70" s="70"/>
      <c r="R70" s="53">
        <f t="shared" si="1"/>
        <v>147397</v>
      </c>
      <c r="S70" s="64"/>
    </row>
    <row r="71" spans="1:19" x14ac:dyDescent="0.2">
      <c r="A71" s="79" t="s">
        <v>165</v>
      </c>
      <c r="B71" s="9" t="s">
        <v>62</v>
      </c>
      <c r="C71" s="9" t="s">
        <v>63</v>
      </c>
      <c r="D71" s="9"/>
      <c r="E71" s="8">
        <v>20</v>
      </c>
      <c r="F71" s="8">
        <v>45</v>
      </c>
      <c r="G71" s="8" t="s">
        <v>93</v>
      </c>
      <c r="H71" s="28">
        <v>3056</v>
      </c>
      <c r="I71" s="28"/>
      <c r="J71" s="28"/>
      <c r="K71" s="28">
        <f t="shared" si="10"/>
        <v>3056</v>
      </c>
      <c r="L71" s="28"/>
      <c r="M71" s="28"/>
      <c r="N71" s="28"/>
      <c r="O71" s="28">
        <f t="shared" si="8"/>
        <v>3056</v>
      </c>
      <c r="P71" s="52"/>
      <c r="Q71" s="52"/>
      <c r="R71" s="53">
        <f t="shared" si="1"/>
        <v>3056</v>
      </c>
      <c r="S71" s="62"/>
    </row>
    <row r="72" spans="1:19" s="17" customFormat="1" x14ac:dyDescent="0.2">
      <c r="A72" s="79"/>
      <c r="B72" s="9" t="s">
        <v>123</v>
      </c>
      <c r="C72" s="9" t="s">
        <v>121</v>
      </c>
      <c r="D72" s="19" t="s">
        <v>176</v>
      </c>
      <c r="E72" s="8">
        <v>20</v>
      </c>
      <c r="F72" s="8">
        <v>5</v>
      </c>
      <c r="G72" s="8"/>
      <c r="H72" s="28">
        <v>24120</v>
      </c>
      <c r="I72" s="28"/>
      <c r="J72" s="28"/>
      <c r="K72" s="28">
        <f t="shared" si="10"/>
        <v>24120</v>
      </c>
      <c r="L72" s="28"/>
      <c r="M72" s="28"/>
      <c r="N72" s="28"/>
      <c r="O72" s="28">
        <f t="shared" si="8"/>
        <v>24120</v>
      </c>
      <c r="P72" s="72">
        <v>-7293</v>
      </c>
      <c r="Q72" s="70"/>
      <c r="R72" s="53">
        <f t="shared" si="1"/>
        <v>16827</v>
      </c>
      <c r="S72" s="64"/>
    </row>
    <row r="73" spans="1:19" s="17" customFormat="1" hidden="1" x14ac:dyDescent="0.2">
      <c r="A73" s="79"/>
      <c r="B73" s="9" t="s">
        <v>123</v>
      </c>
      <c r="C73" s="9" t="s">
        <v>121</v>
      </c>
      <c r="D73" s="19" t="s">
        <v>176</v>
      </c>
      <c r="E73" s="8">
        <v>20</v>
      </c>
      <c r="F73" s="8">
        <v>5</v>
      </c>
      <c r="G73" s="8" t="s">
        <v>199</v>
      </c>
      <c r="H73" s="28">
        <v>0</v>
      </c>
      <c r="I73" s="28"/>
      <c r="J73" s="28"/>
      <c r="K73" s="28">
        <f>H73+I73+J73</f>
        <v>0</v>
      </c>
      <c r="L73" s="28">
        <v>-18000</v>
      </c>
      <c r="M73" s="28"/>
      <c r="N73" s="28">
        <v>18000</v>
      </c>
      <c r="O73" s="28">
        <f t="shared" si="8"/>
        <v>0</v>
      </c>
      <c r="P73" s="70"/>
      <c r="Q73" s="70"/>
      <c r="R73" s="53">
        <f t="shared" si="1"/>
        <v>0</v>
      </c>
      <c r="S73" s="64"/>
    </row>
    <row r="74" spans="1:19" s="17" customFormat="1" x14ac:dyDescent="0.2">
      <c r="A74" s="79"/>
      <c r="B74" s="9" t="s">
        <v>124</v>
      </c>
      <c r="C74" s="9" t="s">
        <v>122</v>
      </c>
      <c r="D74" s="19" t="s">
        <v>176</v>
      </c>
      <c r="E74" s="8">
        <v>20</v>
      </c>
      <c r="F74" s="8">
        <v>5</v>
      </c>
      <c r="G74" s="8"/>
      <c r="H74" s="28">
        <v>118250</v>
      </c>
      <c r="I74" s="28"/>
      <c r="J74" s="28"/>
      <c r="K74" s="28">
        <f t="shared" si="10"/>
        <v>118250</v>
      </c>
      <c r="L74" s="28"/>
      <c r="M74" s="28"/>
      <c r="N74" s="28"/>
      <c r="O74" s="28">
        <f t="shared" si="8"/>
        <v>118250</v>
      </c>
      <c r="P74" s="70"/>
      <c r="Q74" s="70"/>
      <c r="R74" s="53">
        <f t="shared" si="1"/>
        <v>118250</v>
      </c>
      <c r="S74" s="64"/>
    </row>
    <row r="75" spans="1:19" s="17" customFormat="1" hidden="1" x14ac:dyDescent="0.2">
      <c r="A75" s="79"/>
      <c r="B75" s="9" t="s">
        <v>124</v>
      </c>
      <c r="C75" s="9" t="s">
        <v>122</v>
      </c>
      <c r="D75" s="19" t="s">
        <v>176</v>
      </c>
      <c r="E75" s="8">
        <v>20</v>
      </c>
      <c r="F75" s="8">
        <v>5</v>
      </c>
      <c r="G75" s="8" t="s">
        <v>199</v>
      </c>
      <c r="H75" s="28">
        <v>0</v>
      </c>
      <c r="I75" s="28"/>
      <c r="J75" s="28"/>
      <c r="K75" s="28">
        <f t="shared" si="10"/>
        <v>0</v>
      </c>
      <c r="L75" s="28">
        <v>-78133</v>
      </c>
      <c r="M75" s="28"/>
      <c r="N75" s="28">
        <v>78133</v>
      </c>
      <c r="O75" s="28">
        <f t="shared" si="8"/>
        <v>0</v>
      </c>
      <c r="P75" s="70"/>
      <c r="Q75" s="70"/>
      <c r="R75" s="53">
        <f t="shared" ref="R75:R103" si="11">O75+P75+Q75</f>
        <v>0</v>
      </c>
      <c r="S75" s="64"/>
    </row>
    <row r="76" spans="1:19" s="17" customFormat="1" x14ac:dyDescent="0.2">
      <c r="A76" s="79"/>
      <c r="B76" s="9" t="s">
        <v>125</v>
      </c>
      <c r="C76" s="9" t="s">
        <v>126</v>
      </c>
      <c r="D76" s="19" t="s">
        <v>176</v>
      </c>
      <c r="E76" s="8">
        <v>20</v>
      </c>
      <c r="F76" s="8">
        <v>5</v>
      </c>
      <c r="G76" s="8"/>
      <c r="H76" s="28">
        <v>11503</v>
      </c>
      <c r="I76" s="28"/>
      <c r="J76" s="28"/>
      <c r="K76" s="28">
        <f t="shared" si="10"/>
        <v>11503</v>
      </c>
      <c r="L76" s="28"/>
      <c r="M76" s="28"/>
      <c r="N76" s="28"/>
      <c r="O76" s="28">
        <f t="shared" si="8"/>
        <v>11503</v>
      </c>
      <c r="P76" s="70"/>
      <c r="Q76" s="70"/>
      <c r="R76" s="53">
        <f t="shared" si="11"/>
        <v>11503</v>
      </c>
      <c r="S76" s="64"/>
    </row>
    <row r="77" spans="1:19" s="17" customFormat="1" x14ac:dyDescent="0.2">
      <c r="A77" s="79"/>
      <c r="B77" s="9" t="s">
        <v>130</v>
      </c>
      <c r="C77" s="9" t="s">
        <v>129</v>
      </c>
      <c r="D77" s="19" t="s">
        <v>176</v>
      </c>
      <c r="E77" s="8">
        <v>20</v>
      </c>
      <c r="F77" s="8">
        <v>5</v>
      </c>
      <c r="G77" s="8"/>
      <c r="H77" s="28">
        <v>328375</v>
      </c>
      <c r="I77" s="28"/>
      <c r="J77" s="28"/>
      <c r="K77" s="28">
        <f t="shared" si="10"/>
        <v>328375</v>
      </c>
      <c r="L77" s="28"/>
      <c r="M77" s="28">
        <v>432801</v>
      </c>
      <c r="N77" s="28"/>
      <c r="O77" s="28">
        <f t="shared" si="8"/>
        <v>761176</v>
      </c>
      <c r="P77" s="70"/>
      <c r="Q77" s="70"/>
      <c r="R77" s="53">
        <f t="shared" si="11"/>
        <v>761176</v>
      </c>
      <c r="S77" s="64"/>
    </row>
    <row r="78" spans="1:19" s="17" customFormat="1" x14ac:dyDescent="0.2">
      <c r="A78" s="79"/>
      <c r="B78" s="9" t="s">
        <v>131</v>
      </c>
      <c r="C78" s="9" t="s">
        <v>132</v>
      </c>
      <c r="D78" s="19" t="s">
        <v>176</v>
      </c>
      <c r="E78" s="8">
        <v>20</v>
      </c>
      <c r="F78" s="8">
        <v>5</v>
      </c>
      <c r="G78" s="8"/>
      <c r="H78" s="28">
        <v>56680</v>
      </c>
      <c r="I78" s="28"/>
      <c r="J78" s="28"/>
      <c r="K78" s="28">
        <f t="shared" si="10"/>
        <v>56680</v>
      </c>
      <c r="L78" s="28"/>
      <c r="M78" s="28"/>
      <c r="N78" s="28"/>
      <c r="O78" s="28">
        <f t="shared" si="8"/>
        <v>56680</v>
      </c>
      <c r="P78" s="13">
        <v>-56680</v>
      </c>
      <c r="Q78" s="70"/>
      <c r="R78" s="53">
        <f t="shared" si="11"/>
        <v>0</v>
      </c>
      <c r="S78" s="64"/>
    </row>
    <row r="79" spans="1:19" s="17" customFormat="1" x14ac:dyDescent="0.2">
      <c r="A79" s="79"/>
      <c r="B79" s="9" t="s">
        <v>133</v>
      </c>
      <c r="C79" s="9" t="s">
        <v>134</v>
      </c>
      <c r="D79" s="19" t="s">
        <v>176</v>
      </c>
      <c r="E79" s="8">
        <v>20</v>
      </c>
      <c r="F79" s="8">
        <v>5</v>
      </c>
      <c r="G79" s="8"/>
      <c r="H79" s="28">
        <v>192508</v>
      </c>
      <c r="I79" s="28"/>
      <c r="J79" s="28"/>
      <c r="K79" s="28">
        <f t="shared" si="10"/>
        <v>192508</v>
      </c>
      <c r="L79" s="28"/>
      <c r="M79" s="28"/>
      <c r="N79" s="28"/>
      <c r="O79" s="28">
        <f t="shared" si="8"/>
        <v>192508</v>
      </c>
      <c r="P79" s="13">
        <v>-21576</v>
      </c>
      <c r="Q79" s="70"/>
      <c r="R79" s="53">
        <f t="shared" si="11"/>
        <v>170932</v>
      </c>
      <c r="S79" s="64"/>
    </row>
    <row r="80" spans="1:19" s="17" customFormat="1" x14ac:dyDescent="0.2">
      <c r="A80" s="73" t="s">
        <v>166</v>
      </c>
      <c r="B80" s="9" t="s">
        <v>135</v>
      </c>
      <c r="C80" s="9" t="s">
        <v>136</v>
      </c>
      <c r="D80" s="19" t="s">
        <v>176</v>
      </c>
      <c r="E80" s="8">
        <v>20</v>
      </c>
      <c r="F80" s="8">
        <v>5</v>
      </c>
      <c r="G80" s="8"/>
      <c r="H80" s="28">
        <v>82083</v>
      </c>
      <c r="I80" s="28"/>
      <c r="J80" s="28"/>
      <c r="K80" s="28">
        <f t="shared" si="10"/>
        <v>82083</v>
      </c>
      <c r="L80" s="28"/>
      <c r="M80" s="28"/>
      <c r="N80" s="28"/>
      <c r="O80" s="28">
        <f t="shared" si="8"/>
        <v>82083</v>
      </c>
      <c r="P80" s="13">
        <v>-16448</v>
      </c>
      <c r="Q80" s="70"/>
      <c r="R80" s="53">
        <f t="shared" si="11"/>
        <v>65635</v>
      </c>
      <c r="S80" s="64"/>
    </row>
    <row r="81" spans="1:19" s="17" customFormat="1" x14ac:dyDescent="0.2">
      <c r="A81" s="74"/>
      <c r="B81" s="9" t="s">
        <v>137</v>
      </c>
      <c r="C81" s="9" t="s">
        <v>138</v>
      </c>
      <c r="D81" s="19" t="s">
        <v>176</v>
      </c>
      <c r="E81" s="8">
        <v>20</v>
      </c>
      <c r="F81" s="8">
        <v>5</v>
      </c>
      <c r="G81" s="8"/>
      <c r="H81" s="28">
        <v>250661</v>
      </c>
      <c r="I81" s="28"/>
      <c r="J81" s="28"/>
      <c r="K81" s="28">
        <f t="shared" si="10"/>
        <v>250661</v>
      </c>
      <c r="L81" s="28"/>
      <c r="M81" s="28"/>
      <c r="N81" s="28"/>
      <c r="O81" s="28">
        <f t="shared" si="8"/>
        <v>250661</v>
      </c>
      <c r="P81" s="13">
        <v>-113110</v>
      </c>
      <c r="Q81" s="70"/>
      <c r="R81" s="53">
        <f t="shared" si="11"/>
        <v>137551</v>
      </c>
      <c r="S81" s="64"/>
    </row>
    <row r="82" spans="1:19" s="17" customFormat="1" hidden="1" x14ac:dyDescent="0.2">
      <c r="A82" s="75"/>
      <c r="B82" s="9" t="s">
        <v>137</v>
      </c>
      <c r="C82" s="9" t="s">
        <v>138</v>
      </c>
      <c r="D82" s="19" t="s">
        <v>176</v>
      </c>
      <c r="E82" s="8">
        <v>20</v>
      </c>
      <c r="F82" s="8">
        <v>5</v>
      </c>
      <c r="G82" s="8" t="s">
        <v>199</v>
      </c>
      <c r="H82" s="28">
        <v>0</v>
      </c>
      <c r="I82" s="28"/>
      <c r="J82" s="28"/>
      <c r="K82" s="28">
        <f t="shared" si="10"/>
        <v>0</v>
      </c>
      <c r="L82" s="28">
        <v>-1409025</v>
      </c>
      <c r="M82" s="28"/>
      <c r="N82" s="28">
        <v>1409025</v>
      </c>
      <c r="O82" s="28">
        <f t="shared" si="8"/>
        <v>0</v>
      </c>
      <c r="P82" s="70"/>
      <c r="Q82" s="70"/>
      <c r="R82" s="53">
        <f t="shared" si="11"/>
        <v>0</v>
      </c>
      <c r="S82" s="64"/>
    </row>
    <row r="83" spans="1:19" s="17" customFormat="1" x14ac:dyDescent="0.2">
      <c r="A83" s="36" t="s">
        <v>167</v>
      </c>
      <c r="B83" s="9" t="s">
        <v>139</v>
      </c>
      <c r="C83" s="9" t="s">
        <v>140</v>
      </c>
      <c r="D83" s="19" t="s">
        <v>176</v>
      </c>
      <c r="E83" s="8">
        <v>20</v>
      </c>
      <c r="F83" s="8">
        <v>5</v>
      </c>
      <c r="G83" s="8"/>
      <c r="H83" s="28">
        <v>46264</v>
      </c>
      <c r="I83" s="28"/>
      <c r="J83" s="28"/>
      <c r="K83" s="28">
        <f t="shared" si="10"/>
        <v>46264</v>
      </c>
      <c r="L83" s="28"/>
      <c r="M83" s="28"/>
      <c r="N83" s="28"/>
      <c r="O83" s="28">
        <f t="shared" si="8"/>
        <v>46264</v>
      </c>
      <c r="P83" s="70">
        <v>-248</v>
      </c>
      <c r="Q83" s="70"/>
      <c r="R83" s="53">
        <f t="shared" si="11"/>
        <v>46016</v>
      </c>
      <c r="S83" s="64"/>
    </row>
    <row r="84" spans="1:19" s="17" customFormat="1" x14ac:dyDescent="0.2">
      <c r="A84" s="39" t="s">
        <v>157</v>
      </c>
      <c r="B84" s="40" t="s">
        <v>141</v>
      </c>
      <c r="C84" s="40" t="s">
        <v>142</v>
      </c>
      <c r="D84" s="41" t="s">
        <v>176</v>
      </c>
      <c r="E84" s="42">
        <v>20</v>
      </c>
      <c r="F84" s="42">
        <v>5</v>
      </c>
      <c r="G84" s="42"/>
      <c r="H84" s="43">
        <v>59238</v>
      </c>
      <c r="I84" s="43"/>
      <c r="J84" s="43"/>
      <c r="K84" s="43">
        <f t="shared" si="10"/>
        <v>59238</v>
      </c>
      <c r="L84" s="28"/>
      <c r="M84" s="28"/>
      <c r="N84" s="28"/>
      <c r="O84" s="28">
        <f t="shared" si="8"/>
        <v>59238</v>
      </c>
      <c r="P84" s="13">
        <v>11613</v>
      </c>
      <c r="Q84" s="70"/>
      <c r="R84" s="53">
        <f t="shared" si="11"/>
        <v>70851</v>
      </c>
      <c r="S84" s="64"/>
    </row>
    <row r="85" spans="1:19" ht="15" x14ac:dyDescent="0.25">
      <c r="A85" s="56" t="s">
        <v>181</v>
      </c>
      <c r="B85" s="46"/>
      <c r="C85" s="46"/>
      <c r="D85" s="46"/>
      <c r="E85" s="47"/>
      <c r="F85" s="47"/>
      <c r="G85" s="47"/>
      <c r="H85" s="50"/>
      <c r="I85" s="48"/>
      <c r="J85" s="48"/>
      <c r="K85" s="57"/>
      <c r="L85" s="48"/>
      <c r="M85" s="48"/>
      <c r="N85" s="48"/>
      <c r="O85" s="57"/>
      <c r="P85" s="22"/>
      <c r="R85" s="12"/>
      <c r="S85" s="62"/>
    </row>
    <row r="86" spans="1:19" s="32" customFormat="1" ht="48" x14ac:dyDescent="0.2">
      <c r="A86" s="44" t="s">
        <v>0</v>
      </c>
      <c r="B86" s="44" t="s">
        <v>1</v>
      </c>
      <c r="C86" s="44" t="s">
        <v>2</v>
      </c>
      <c r="D86" s="44" t="s">
        <v>172</v>
      </c>
      <c r="E86" s="44" t="s">
        <v>90</v>
      </c>
      <c r="F86" s="44" t="s">
        <v>3</v>
      </c>
      <c r="G86" s="44" t="s">
        <v>91</v>
      </c>
      <c r="H86" s="45" t="s">
        <v>179</v>
      </c>
      <c r="I86" s="45" t="s">
        <v>193</v>
      </c>
      <c r="J86" s="45" t="s">
        <v>188</v>
      </c>
      <c r="K86" s="45" t="s">
        <v>195</v>
      </c>
      <c r="L86" s="45" t="s">
        <v>196</v>
      </c>
      <c r="M86" s="45" t="s">
        <v>188</v>
      </c>
      <c r="N86" s="45" t="s">
        <v>197</v>
      </c>
      <c r="O86" s="51" t="s">
        <v>216</v>
      </c>
      <c r="P86" s="51" t="s">
        <v>219</v>
      </c>
      <c r="Q86" s="51" t="s">
        <v>215</v>
      </c>
      <c r="R86" s="51" t="s">
        <v>198</v>
      </c>
      <c r="S86" s="64"/>
    </row>
    <row r="87" spans="1:19" x14ac:dyDescent="0.2">
      <c r="A87" s="76" t="s">
        <v>183</v>
      </c>
      <c r="B87" s="9" t="s">
        <v>64</v>
      </c>
      <c r="C87" s="9" t="s">
        <v>79</v>
      </c>
      <c r="D87" s="9"/>
      <c r="E87" s="8">
        <v>20</v>
      </c>
      <c r="F87" s="8">
        <v>5</v>
      </c>
      <c r="G87" s="8"/>
      <c r="H87" s="28">
        <v>7000</v>
      </c>
      <c r="I87" s="28"/>
      <c r="J87" s="28"/>
      <c r="K87" s="28">
        <f>H87+I87+J87</f>
        <v>7000</v>
      </c>
      <c r="L87" s="28"/>
      <c r="M87" s="28"/>
      <c r="N87" s="28"/>
      <c r="O87" s="28">
        <f t="shared" ref="O87:O103" si="12">K87+L87+M87+N87</f>
        <v>7000</v>
      </c>
      <c r="P87" s="70">
        <f>2411+849</f>
        <v>3260</v>
      </c>
      <c r="Q87" s="52"/>
      <c r="R87" s="53">
        <f t="shared" si="11"/>
        <v>10260</v>
      </c>
      <c r="S87" s="62"/>
    </row>
    <row r="88" spans="1:19" ht="24" x14ac:dyDescent="0.2">
      <c r="A88" s="77"/>
      <c r="B88" s="9" t="s">
        <v>189</v>
      </c>
      <c r="C88" s="9" t="s">
        <v>190</v>
      </c>
      <c r="D88" s="9" t="s">
        <v>191</v>
      </c>
      <c r="E88" s="8">
        <v>20</v>
      </c>
      <c r="F88" s="8">
        <v>5</v>
      </c>
      <c r="G88" s="8" t="s">
        <v>192</v>
      </c>
      <c r="H88" s="28"/>
      <c r="I88" s="28"/>
      <c r="J88" s="28">
        <v>405540</v>
      </c>
      <c r="K88" s="28">
        <f t="shared" ref="K88:K103" si="13">H88+I88+J88</f>
        <v>405540</v>
      </c>
      <c r="L88" s="28"/>
      <c r="M88" s="28"/>
      <c r="N88" s="28"/>
      <c r="O88" s="28">
        <f t="shared" si="12"/>
        <v>405540</v>
      </c>
      <c r="P88" s="52"/>
      <c r="Q88" s="52"/>
      <c r="R88" s="53">
        <f t="shared" si="11"/>
        <v>405540</v>
      </c>
      <c r="S88" s="62"/>
    </row>
    <row r="89" spans="1:19" ht="24" x14ac:dyDescent="0.2">
      <c r="A89" s="77"/>
      <c r="B89" s="9" t="s">
        <v>189</v>
      </c>
      <c r="C89" s="9" t="s">
        <v>190</v>
      </c>
      <c r="D89" s="9" t="s">
        <v>221</v>
      </c>
      <c r="E89" s="8">
        <v>20</v>
      </c>
      <c r="F89" s="8">
        <v>5</v>
      </c>
      <c r="G89" s="8" t="s">
        <v>222</v>
      </c>
      <c r="H89" s="28"/>
      <c r="I89" s="28"/>
      <c r="J89" s="28"/>
      <c r="K89" s="28"/>
      <c r="L89" s="28"/>
      <c r="M89" s="28"/>
      <c r="N89" s="28"/>
      <c r="O89" s="28"/>
      <c r="P89" s="52"/>
      <c r="Q89" s="53">
        <v>208020</v>
      </c>
      <c r="R89" s="53">
        <f t="shared" si="11"/>
        <v>208020</v>
      </c>
      <c r="S89" s="62"/>
    </row>
    <row r="90" spans="1:19" s="17" customFormat="1" x14ac:dyDescent="0.2">
      <c r="A90" s="77"/>
      <c r="B90" s="9" t="s">
        <v>147</v>
      </c>
      <c r="C90" s="9" t="s">
        <v>119</v>
      </c>
      <c r="D90" s="9" t="s">
        <v>177</v>
      </c>
      <c r="E90" s="8">
        <v>20</v>
      </c>
      <c r="F90" s="8">
        <v>5</v>
      </c>
      <c r="G90" s="8"/>
      <c r="H90" s="28">
        <v>512886</v>
      </c>
      <c r="I90" s="28">
        <f>87425+23281-124238</f>
        <v>-13532</v>
      </c>
      <c r="J90" s="28"/>
      <c r="K90" s="28">
        <f t="shared" si="13"/>
        <v>499354</v>
      </c>
      <c r="L90" s="28">
        <f>-222494-142080</f>
        <v>-364574</v>
      </c>
      <c r="M90" s="28"/>
      <c r="N90" s="28"/>
      <c r="O90" s="28">
        <f t="shared" si="12"/>
        <v>134780</v>
      </c>
      <c r="P90" s="53">
        <f>-18040+15000-57625</f>
        <v>-60665</v>
      </c>
      <c r="Q90" s="70"/>
      <c r="R90" s="53">
        <f t="shared" si="11"/>
        <v>74115</v>
      </c>
      <c r="S90" s="64"/>
    </row>
    <row r="91" spans="1:19" s="17" customFormat="1" hidden="1" x14ac:dyDescent="0.2">
      <c r="A91" s="77"/>
      <c r="B91" s="9" t="s">
        <v>147</v>
      </c>
      <c r="C91" s="9" t="s">
        <v>119</v>
      </c>
      <c r="D91" s="9" t="s">
        <v>177</v>
      </c>
      <c r="E91" s="8">
        <v>20</v>
      </c>
      <c r="F91" s="8">
        <v>5</v>
      </c>
      <c r="G91" s="8" t="s">
        <v>199</v>
      </c>
      <c r="H91" s="28">
        <v>0</v>
      </c>
      <c r="I91" s="28"/>
      <c r="J91" s="28"/>
      <c r="K91" s="28">
        <f t="shared" si="13"/>
        <v>0</v>
      </c>
      <c r="L91" s="28">
        <v>-110833</v>
      </c>
      <c r="M91" s="28"/>
      <c r="N91" s="28">
        <v>110833</v>
      </c>
      <c r="O91" s="28">
        <f t="shared" si="12"/>
        <v>0</v>
      </c>
      <c r="P91" s="70"/>
      <c r="Q91" s="70"/>
      <c r="R91" s="53">
        <f t="shared" si="11"/>
        <v>0</v>
      </c>
      <c r="S91" s="64"/>
    </row>
    <row r="92" spans="1:19" s="17" customFormat="1" ht="24" x14ac:dyDescent="0.2">
      <c r="A92" s="77"/>
      <c r="B92" s="9" t="s">
        <v>185</v>
      </c>
      <c r="C92" s="9" t="s">
        <v>186</v>
      </c>
      <c r="D92" s="9" t="s">
        <v>177</v>
      </c>
      <c r="E92" s="8">
        <v>20</v>
      </c>
      <c r="F92" s="8">
        <v>5</v>
      </c>
      <c r="G92" s="8"/>
      <c r="H92" s="28">
        <v>40000</v>
      </c>
      <c r="I92" s="28"/>
      <c r="J92" s="28"/>
      <c r="K92" s="28">
        <f t="shared" si="13"/>
        <v>40000</v>
      </c>
      <c r="L92" s="28"/>
      <c r="M92" s="28"/>
      <c r="N92" s="28"/>
      <c r="O92" s="28">
        <f t="shared" si="12"/>
        <v>40000</v>
      </c>
      <c r="P92" s="70"/>
      <c r="Q92" s="70"/>
      <c r="R92" s="53">
        <f t="shared" si="11"/>
        <v>40000</v>
      </c>
      <c r="S92" s="64"/>
    </row>
    <row r="93" spans="1:19" s="17" customFormat="1" x14ac:dyDescent="0.2">
      <c r="A93" s="77"/>
      <c r="B93" s="9" t="s">
        <v>148</v>
      </c>
      <c r="C93" s="9" t="s">
        <v>149</v>
      </c>
      <c r="D93" s="9" t="s">
        <v>177</v>
      </c>
      <c r="E93" s="8">
        <v>10</v>
      </c>
      <c r="F93" s="8">
        <v>5</v>
      </c>
      <c r="G93" s="8" t="s">
        <v>150</v>
      </c>
      <c r="H93" s="28">
        <v>423823</v>
      </c>
      <c r="I93" s="28"/>
      <c r="J93" s="28"/>
      <c r="K93" s="28">
        <f t="shared" si="13"/>
        <v>423823</v>
      </c>
      <c r="L93" s="28"/>
      <c r="M93" s="28"/>
      <c r="N93" s="28"/>
      <c r="O93" s="28">
        <f t="shared" si="12"/>
        <v>423823</v>
      </c>
      <c r="P93" s="70"/>
      <c r="Q93" s="70"/>
      <c r="R93" s="53">
        <f t="shared" si="11"/>
        <v>423823</v>
      </c>
      <c r="S93" s="64"/>
    </row>
    <row r="94" spans="1:19" s="17" customFormat="1" hidden="1" x14ac:dyDescent="0.2">
      <c r="A94" s="77"/>
      <c r="B94" s="9" t="s">
        <v>148</v>
      </c>
      <c r="C94" s="9" t="s">
        <v>149</v>
      </c>
      <c r="D94" s="9" t="s">
        <v>177</v>
      </c>
      <c r="E94" s="8">
        <v>20</v>
      </c>
      <c r="F94" s="8">
        <v>5</v>
      </c>
      <c r="G94" s="8" t="s">
        <v>151</v>
      </c>
      <c r="H94" s="28">
        <v>408632</v>
      </c>
      <c r="I94" s="28">
        <v>-211939</v>
      </c>
      <c r="J94" s="28"/>
      <c r="K94" s="28">
        <f t="shared" si="13"/>
        <v>196693</v>
      </c>
      <c r="L94" s="28">
        <v>-196693</v>
      </c>
      <c r="M94" s="28"/>
      <c r="N94" s="28"/>
      <c r="O94" s="28">
        <f t="shared" si="12"/>
        <v>0</v>
      </c>
      <c r="P94" s="70"/>
      <c r="Q94" s="70"/>
      <c r="R94" s="53">
        <f t="shared" si="11"/>
        <v>0</v>
      </c>
      <c r="S94" s="64"/>
    </row>
    <row r="95" spans="1:19" s="17" customFormat="1" x14ac:dyDescent="0.2">
      <c r="A95" s="78"/>
      <c r="B95" s="9" t="s">
        <v>148</v>
      </c>
      <c r="C95" s="9" t="s">
        <v>149</v>
      </c>
      <c r="D95" s="9" t="s">
        <v>177</v>
      </c>
      <c r="E95" s="8">
        <v>20</v>
      </c>
      <c r="F95" s="8">
        <v>5</v>
      </c>
      <c r="G95" s="8" t="s">
        <v>211</v>
      </c>
      <c r="H95" s="28">
        <v>0</v>
      </c>
      <c r="I95" s="28"/>
      <c r="J95" s="28"/>
      <c r="K95" s="28">
        <f t="shared" si="13"/>
        <v>0</v>
      </c>
      <c r="L95" s="28"/>
      <c r="M95" s="28">
        <v>22037</v>
      </c>
      <c r="N95" s="28"/>
      <c r="O95" s="28">
        <f t="shared" si="12"/>
        <v>22037</v>
      </c>
      <c r="P95" s="13">
        <v>-22037</v>
      </c>
      <c r="Q95" s="70"/>
      <c r="R95" s="53">
        <f t="shared" si="11"/>
        <v>0</v>
      </c>
      <c r="S95" s="64"/>
    </row>
    <row r="96" spans="1:19" x14ac:dyDescent="0.2">
      <c r="A96" s="34" t="s">
        <v>168</v>
      </c>
      <c r="B96" s="9" t="s">
        <v>73</v>
      </c>
      <c r="C96" s="9" t="s">
        <v>74</v>
      </c>
      <c r="D96" s="9"/>
      <c r="E96" s="8">
        <v>20</v>
      </c>
      <c r="F96" s="8">
        <v>5</v>
      </c>
      <c r="G96" s="8"/>
      <c r="H96" s="28">
        <v>3850</v>
      </c>
      <c r="I96" s="28"/>
      <c r="J96" s="28"/>
      <c r="K96" s="28">
        <f t="shared" si="13"/>
        <v>3850</v>
      </c>
      <c r="L96" s="28"/>
      <c r="M96" s="28"/>
      <c r="N96" s="28"/>
      <c r="O96" s="28">
        <f t="shared" si="12"/>
        <v>3850</v>
      </c>
      <c r="P96" s="52"/>
      <c r="Q96" s="52"/>
      <c r="R96" s="53">
        <f t="shared" si="11"/>
        <v>3850</v>
      </c>
      <c r="S96" s="62"/>
    </row>
    <row r="97" spans="1:19" x14ac:dyDescent="0.2">
      <c r="A97" s="79" t="s">
        <v>169</v>
      </c>
      <c r="B97" s="9" t="s">
        <v>65</v>
      </c>
      <c r="C97" s="9" t="s">
        <v>66</v>
      </c>
      <c r="D97" s="9"/>
      <c r="E97" s="8">
        <v>20</v>
      </c>
      <c r="F97" s="8">
        <v>5</v>
      </c>
      <c r="G97" s="8"/>
      <c r="H97" s="28">
        <v>14000</v>
      </c>
      <c r="I97" s="28"/>
      <c r="J97" s="28"/>
      <c r="K97" s="28">
        <f t="shared" si="13"/>
        <v>14000</v>
      </c>
      <c r="L97" s="28"/>
      <c r="M97" s="28"/>
      <c r="N97" s="28"/>
      <c r="O97" s="28">
        <f t="shared" si="12"/>
        <v>14000</v>
      </c>
      <c r="P97" s="52"/>
      <c r="Q97" s="52"/>
      <c r="R97" s="53">
        <f t="shared" si="11"/>
        <v>14000</v>
      </c>
      <c r="S97" s="62"/>
    </row>
    <row r="98" spans="1:19" x14ac:dyDescent="0.2">
      <c r="A98" s="79"/>
      <c r="B98" s="9" t="s">
        <v>212</v>
      </c>
      <c r="C98" s="9" t="s">
        <v>213</v>
      </c>
      <c r="D98" s="9"/>
      <c r="E98" s="8">
        <v>20</v>
      </c>
      <c r="F98" s="8">
        <v>5</v>
      </c>
      <c r="G98" s="8"/>
      <c r="H98" s="28">
        <v>0</v>
      </c>
      <c r="I98" s="28"/>
      <c r="J98" s="28"/>
      <c r="K98" s="28">
        <f t="shared" si="13"/>
        <v>0</v>
      </c>
      <c r="L98" s="28">
        <v>567660</v>
      </c>
      <c r="M98" s="28"/>
      <c r="N98" s="28"/>
      <c r="O98" s="28">
        <f t="shared" si="12"/>
        <v>567660</v>
      </c>
      <c r="P98" s="52"/>
      <c r="Q98" s="52"/>
      <c r="R98" s="53">
        <f t="shared" si="11"/>
        <v>567660</v>
      </c>
      <c r="S98" s="62"/>
    </row>
    <row r="99" spans="1:19" x14ac:dyDescent="0.2">
      <c r="A99" s="79"/>
      <c r="B99" s="9" t="s">
        <v>67</v>
      </c>
      <c r="C99" s="9" t="s">
        <v>86</v>
      </c>
      <c r="D99" s="9"/>
      <c r="E99" s="8">
        <v>20</v>
      </c>
      <c r="F99" s="8">
        <v>450</v>
      </c>
      <c r="G99" s="8"/>
      <c r="H99" s="28">
        <v>837000</v>
      </c>
      <c r="I99" s="28"/>
      <c r="J99" s="28"/>
      <c r="K99" s="28">
        <f t="shared" si="13"/>
        <v>837000</v>
      </c>
      <c r="L99" s="28"/>
      <c r="M99" s="28"/>
      <c r="N99" s="28"/>
      <c r="O99" s="28">
        <f t="shared" si="12"/>
        <v>837000</v>
      </c>
      <c r="P99" s="52"/>
      <c r="Q99" s="52"/>
      <c r="R99" s="53">
        <f t="shared" si="11"/>
        <v>837000</v>
      </c>
      <c r="S99" s="62"/>
    </row>
    <row r="100" spans="1:19" x14ac:dyDescent="0.2">
      <c r="A100" s="79"/>
      <c r="B100" s="9" t="s">
        <v>68</v>
      </c>
      <c r="C100" s="9" t="s">
        <v>69</v>
      </c>
      <c r="D100" s="9"/>
      <c r="E100" s="8">
        <v>20</v>
      </c>
      <c r="F100" s="8">
        <v>45</v>
      </c>
      <c r="G100" s="8" t="s">
        <v>92</v>
      </c>
      <c r="H100" s="28">
        <v>4225000</v>
      </c>
      <c r="I100" s="28"/>
      <c r="J100" s="28"/>
      <c r="K100" s="28">
        <f t="shared" si="13"/>
        <v>4225000</v>
      </c>
      <c r="L100" s="28"/>
      <c r="M100" s="28"/>
      <c r="N100" s="28"/>
      <c r="O100" s="28">
        <f t="shared" si="12"/>
        <v>4225000</v>
      </c>
      <c r="P100" s="53">
        <f>-43350</f>
        <v>-43350</v>
      </c>
      <c r="Q100" s="52"/>
      <c r="R100" s="53">
        <f t="shared" si="11"/>
        <v>4181650</v>
      </c>
      <c r="S100" s="62"/>
    </row>
    <row r="101" spans="1:19" x14ac:dyDescent="0.2">
      <c r="A101" s="36" t="s">
        <v>170</v>
      </c>
      <c r="B101" s="9" t="s">
        <v>70</v>
      </c>
      <c r="C101" s="9" t="s">
        <v>71</v>
      </c>
      <c r="D101" s="9"/>
      <c r="E101" s="8">
        <v>20</v>
      </c>
      <c r="F101" s="8">
        <v>5</v>
      </c>
      <c r="G101" s="8"/>
      <c r="H101" s="28">
        <v>79739</v>
      </c>
      <c r="I101" s="28"/>
      <c r="J101" s="28"/>
      <c r="K101" s="28">
        <f t="shared" si="13"/>
        <v>79739</v>
      </c>
      <c r="L101" s="28"/>
      <c r="M101" s="28"/>
      <c r="N101" s="28"/>
      <c r="O101" s="28">
        <f t="shared" si="12"/>
        <v>79739</v>
      </c>
      <c r="P101" s="53">
        <f>-21593-849</f>
        <v>-22442</v>
      </c>
      <c r="Q101" s="52"/>
      <c r="R101" s="53">
        <f t="shared" si="11"/>
        <v>57297</v>
      </c>
      <c r="S101" s="62"/>
    </row>
    <row r="102" spans="1:19" x14ac:dyDescent="0.2">
      <c r="A102" s="79" t="s">
        <v>171</v>
      </c>
      <c r="B102" s="9" t="s">
        <v>72</v>
      </c>
      <c r="C102" s="9" t="s">
        <v>84</v>
      </c>
      <c r="D102" s="9"/>
      <c r="E102" s="8">
        <v>20</v>
      </c>
      <c r="F102" s="8">
        <v>45</v>
      </c>
      <c r="G102" s="8" t="s">
        <v>93</v>
      </c>
      <c r="H102" s="28">
        <v>4000</v>
      </c>
      <c r="I102" s="28"/>
      <c r="J102" s="28"/>
      <c r="K102" s="28">
        <f t="shared" si="13"/>
        <v>4000</v>
      </c>
      <c r="L102" s="28"/>
      <c r="M102" s="28"/>
      <c r="N102" s="28"/>
      <c r="O102" s="28">
        <f t="shared" si="12"/>
        <v>4000</v>
      </c>
      <c r="P102" s="52"/>
      <c r="Q102" s="52"/>
      <c r="R102" s="53">
        <f t="shared" si="11"/>
        <v>4000</v>
      </c>
      <c r="S102" s="62"/>
    </row>
    <row r="103" spans="1:19" x14ac:dyDescent="0.2">
      <c r="A103" s="79"/>
      <c r="B103" s="9" t="s">
        <v>116</v>
      </c>
      <c r="C103" s="9" t="s">
        <v>117</v>
      </c>
      <c r="D103" s="9"/>
      <c r="E103" s="8">
        <v>20</v>
      </c>
      <c r="F103" s="8">
        <v>5</v>
      </c>
      <c r="G103" s="8"/>
      <c r="H103" s="28">
        <v>2411</v>
      </c>
      <c r="I103" s="28"/>
      <c r="J103" s="28"/>
      <c r="K103" s="28">
        <f t="shared" si="13"/>
        <v>2411</v>
      </c>
      <c r="L103" s="28"/>
      <c r="M103" s="28"/>
      <c r="N103" s="28"/>
      <c r="O103" s="28">
        <f t="shared" si="12"/>
        <v>2411</v>
      </c>
      <c r="P103" s="13">
        <v>-2411</v>
      </c>
      <c r="Q103" s="52"/>
      <c r="R103" s="53">
        <f t="shared" si="11"/>
        <v>0</v>
      </c>
      <c r="S103" s="62"/>
    </row>
    <row r="104" spans="1:19" x14ac:dyDescent="0.2">
      <c r="E104" s="21"/>
      <c r="F104" s="21"/>
      <c r="G104" s="21"/>
      <c r="H104" s="12"/>
    </row>
    <row r="105" spans="1:19" x14ac:dyDescent="0.2">
      <c r="H105" s="23"/>
    </row>
    <row r="106" spans="1:19" x14ac:dyDescent="0.2">
      <c r="H106" s="23"/>
    </row>
    <row r="107" spans="1:19" x14ac:dyDescent="0.2">
      <c r="H107" s="23"/>
    </row>
    <row r="108" spans="1:19" x14ac:dyDescent="0.2">
      <c r="H108" s="23"/>
    </row>
    <row r="109" spans="1:19" x14ac:dyDescent="0.2">
      <c r="H109" s="23"/>
    </row>
    <row r="110" spans="1:19" x14ac:dyDescent="0.2">
      <c r="H110" s="23"/>
    </row>
    <row r="111" spans="1:19" x14ac:dyDescent="0.2">
      <c r="H111" s="23"/>
    </row>
    <row r="112" spans="1:19" x14ac:dyDescent="0.2">
      <c r="H112" s="23"/>
    </row>
    <row r="113" spans="8:8" x14ac:dyDescent="0.2">
      <c r="H113" s="23"/>
    </row>
    <row r="114" spans="8:8" x14ac:dyDescent="0.2">
      <c r="H114" s="23"/>
    </row>
    <row r="115" spans="8:8" x14ac:dyDescent="0.2">
      <c r="H115" s="23"/>
    </row>
    <row r="116" spans="8:8" x14ac:dyDescent="0.2">
      <c r="H116" s="23"/>
    </row>
  </sheetData>
  <mergeCells count="14">
    <mergeCell ref="A14:A15"/>
    <mergeCell ref="A6:A13"/>
    <mergeCell ref="A40:A44"/>
    <mergeCell ref="A27:A30"/>
    <mergeCell ref="A16:A24"/>
    <mergeCell ref="A80:A82"/>
    <mergeCell ref="A87:A95"/>
    <mergeCell ref="A102:A103"/>
    <mergeCell ref="A97:A100"/>
    <mergeCell ref="A34:A39"/>
    <mergeCell ref="A48:A52"/>
    <mergeCell ref="A71:A79"/>
    <mergeCell ref="A58:A63"/>
    <mergeCell ref="A64:A69"/>
  </mergeCells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workbookViewId="0">
      <selection activeCell="H15" sqref="H15"/>
    </sheetView>
  </sheetViews>
  <sheetFormatPr defaultRowHeight="15" x14ac:dyDescent="0.25"/>
  <cols>
    <col min="1" max="1" width="23.140625" customWidth="1"/>
    <col min="2" max="2" width="11.42578125" bestFit="1" customWidth="1"/>
    <col min="3" max="3" width="11.42578125" style="3" bestFit="1" customWidth="1"/>
    <col min="4" max="4" width="11.42578125" bestFit="1" customWidth="1"/>
    <col min="5" max="5" width="13.5703125" customWidth="1"/>
    <col min="6" max="6" width="12.85546875" bestFit="1" customWidth="1"/>
    <col min="7" max="7" width="11.42578125" bestFit="1" customWidth="1"/>
    <col min="8" max="8" width="11.7109375" customWidth="1"/>
    <col min="9" max="9" width="13.85546875" customWidth="1"/>
  </cols>
  <sheetData>
    <row r="1" spans="1:9" x14ac:dyDescent="0.25">
      <c r="C1" s="6"/>
      <c r="D1" s="6"/>
    </row>
    <row r="2" spans="1:9" x14ac:dyDescent="0.25">
      <c r="B2" t="s">
        <v>100</v>
      </c>
      <c r="C2" s="3" t="s">
        <v>101</v>
      </c>
      <c r="D2" t="s">
        <v>102</v>
      </c>
      <c r="E2" t="s">
        <v>103</v>
      </c>
      <c r="F2" t="s">
        <v>107</v>
      </c>
      <c r="G2" t="s">
        <v>111</v>
      </c>
      <c r="H2" t="s">
        <v>112</v>
      </c>
      <c r="I2" t="s">
        <v>113</v>
      </c>
    </row>
    <row r="3" spans="1:9" x14ac:dyDescent="0.25">
      <c r="A3" t="s">
        <v>104</v>
      </c>
      <c r="B3" s="5">
        <v>500000</v>
      </c>
      <c r="C3" s="5">
        <v>500000</v>
      </c>
      <c r="D3" s="3">
        <v>500000</v>
      </c>
      <c r="E3" s="3">
        <v>0</v>
      </c>
      <c r="F3" s="3">
        <v>500000</v>
      </c>
      <c r="G3" s="5">
        <v>500000</v>
      </c>
      <c r="I3" s="5">
        <v>500000</v>
      </c>
    </row>
    <row r="4" spans="1:9" x14ac:dyDescent="0.25">
      <c r="B4" s="3"/>
      <c r="C4" s="3">
        <f t="shared" ref="C4:I4" si="0">B11</f>
        <v>17527.45</v>
      </c>
      <c r="D4" s="3">
        <f t="shared" si="0"/>
        <v>18046.099999999999</v>
      </c>
      <c r="E4" s="3">
        <f t="shared" si="0"/>
        <v>16957.099999999999</v>
      </c>
      <c r="F4" s="2">
        <f t="shared" si="0"/>
        <v>21912.18</v>
      </c>
      <c r="G4" s="2">
        <f t="shared" si="0"/>
        <v>18659.169999999998</v>
      </c>
      <c r="H4" s="2">
        <f t="shared" si="0"/>
        <v>16379.45</v>
      </c>
      <c r="I4" s="2">
        <f t="shared" si="0"/>
        <v>13915.029999999999</v>
      </c>
    </row>
    <row r="5" spans="1:9" x14ac:dyDescent="0.25">
      <c r="B5" s="3"/>
      <c r="C5" s="3">
        <v>69507.710000000006</v>
      </c>
    </row>
    <row r="6" spans="1:9" x14ac:dyDescent="0.25">
      <c r="A6" s="1" t="s">
        <v>105</v>
      </c>
      <c r="B6" s="4">
        <f>SUM(B3:B5)</f>
        <v>500000</v>
      </c>
      <c r="C6" s="4">
        <f>SUM(C3:C5)</f>
        <v>587035.16</v>
      </c>
      <c r="D6" s="4">
        <f>SUM(D3:D5)</f>
        <v>518046.1</v>
      </c>
      <c r="E6" s="4">
        <f t="shared" ref="E6" si="1">SUM(E3:E5)</f>
        <v>16957.099999999999</v>
      </c>
      <c r="F6" s="4">
        <f>SUM(F3:F5)</f>
        <v>521912.18</v>
      </c>
      <c r="G6" s="4">
        <f>SUM(G3:G5)</f>
        <v>518659.17</v>
      </c>
      <c r="H6" s="4">
        <f>SUM(H3:H5)</f>
        <v>16379.45</v>
      </c>
      <c r="I6" s="4">
        <f>SUM(I3:I5)</f>
        <v>513915.03</v>
      </c>
    </row>
    <row r="7" spans="1:9" x14ac:dyDescent="0.25">
      <c r="B7" s="3"/>
    </row>
    <row r="8" spans="1:9" x14ac:dyDescent="0.25">
      <c r="B8" s="3"/>
    </row>
    <row r="9" spans="1:9" x14ac:dyDescent="0.25">
      <c r="B9" s="3"/>
    </row>
    <row r="10" spans="1:9" x14ac:dyDescent="0.25">
      <c r="A10" t="s">
        <v>115</v>
      </c>
      <c r="B10" s="3">
        <v>348510.2</v>
      </c>
      <c r="C10" s="3">
        <v>363300.17</v>
      </c>
      <c r="D10" s="3">
        <v>334287.23</v>
      </c>
      <c r="E10" s="3">
        <v>288451.28999999998</v>
      </c>
      <c r="F10" s="3">
        <v>324459.64</v>
      </c>
      <c r="G10" s="3">
        <v>370392.45</v>
      </c>
      <c r="H10" s="3">
        <v>268128.34000000003</v>
      </c>
    </row>
    <row r="11" spans="1:9" x14ac:dyDescent="0.25">
      <c r="A11" t="s">
        <v>114</v>
      </c>
      <c r="B11" s="3">
        <v>17527.45</v>
      </c>
      <c r="C11" s="3">
        <v>18046.099999999999</v>
      </c>
      <c r="D11" s="3">
        <v>16957.099999999999</v>
      </c>
      <c r="E11" s="2">
        <f>11127.09+10785.09</f>
        <v>21912.18</v>
      </c>
      <c r="F11" s="2">
        <f>9483.29+9175.88</f>
        <v>18659.169999999998</v>
      </c>
      <c r="G11" s="2">
        <f>7380.92+8998.53</f>
        <v>16379.45</v>
      </c>
      <c r="H11" s="2">
        <f>6528.53+7386.5</f>
        <v>13915.029999999999</v>
      </c>
    </row>
    <row r="12" spans="1:9" x14ac:dyDescent="0.25">
      <c r="A12" s="1" t="s">
        <v>105</v>
      </c>
      <c r="B12" s="4">
        <f t="shared" ref="B12:G12" si="2">SUM(B10:B11)</f>
        <v>366037.65</v>
      </c>
      <c r="C12" s="4">
        <f t="shared" si="2"/>
        <v>381346.26999999996</v>
      </c>
      <c r="D12" s="4">
        <f t="shared" si="2"/>
        <v>351244.32999999996</v>
      </c>
      <c r="E12" s="4">
        <f t="shared" si="2"/>
        <v>310363.46999999997</v>
      </c>
      <c r="F12" s="4">
        <f t="shared" si="2"/>
        <v>343118.81</v>
      </c>
      <c r="G12" s="4">
        <f t="shared" si="2"/>
        <v>386771.9</v>
      </c>
      <c r="H12" s="4">
        <f>SUM(H10:H11)</f>
        <v>282043.37</v>
      </c>
    </row>
    <row r="15" spans="1:9" x14ac:dyDescent="0.25">
      <c r="A15" t="s">
        <v>106</v>
      </c>
      <c r="B15" s="3">
        <v>64454.64</v>
      </c>
      <c r="C15" s="3">
        <v>270143.53000000003</v>
      </c>
      <c r="D15" s="3">
        <v>436945.3</v>
      </c>
      <c r="E15" s="3">
        <v>143538.93</v>
      </c>
      <c r="F15" s="3">
        <v>322332.3</v>
      </c>
      <c r="G15" s="3">
        <v>454219.57</v>
      </c>
      <c r="H15" s="3">
        <v>188555.65</v>
      </c>
    </row>
    <row r="16" spans="1:9" x14ac:dyDescent="0.25">
      <c r="B16" s="3">
        <f>-69507.71+B6-B10-B11</f>
        <v>64454.63999999997</v>
      </c>
      <c r="C16" s="3">
        <f>B15+C6-C10-C11</f>
        <v>270143.53000000009</v>
      </c>
      <c r="D16" s="3">
        <f t="shared" ref="D16:E16" si="3">C15+D6-D10-D11</f>
        <v>436945.30000000005</v>
      </c>
      <c r="E16" s="3">
        <f t="shared" si="3"/>
        <v>143538.93</v>
      </c>
      <c r="F16" s="3">
        <f>E15+F6-F10-F11</f>
        <v>322332.3</v>
      </c>
      <c r="G16" s="3">
        <f>F15+G6-G10-G11</f>
        <v>454219.56999999995</v>
      </c>
      <c r="H16" s="3">
        <f>G15+H6-H10-H11</f>
        <v>188555.65</v>
      </c>
    </row>
    <row r="20" spans="4:6" x14ac:dyDescent="0.25">
      <c r="D20" t="s">
        <v>108</v>
      </c>
      <c r="E20" s="3">
        <v>4225000</v>
      </c>
      <c r="F20" s="7"/>
    </row>
    <row r="21" spans="4:6" x14ac:dyDescent="0.25">
      <c r="D21" t="s">
        <v>110</v>
      </c>
      <c r="E21" s="3">
        <f>C5</f>
        <v>69507.710000000006</v>
      </c>
    </row>
    <row r="22" spans="4:6" x14ac:dyDescent="0.25">
      <c r="D22" t="s">
        <v>109</v>
      </c>
      <c r="E22" s="3">
        <v>77000</v>
      </c>
    </row>
    <row r="23" spans="4:6" x14ac:dyDescent="0.25">
      <c r="D23" t="s">
        <v>99</v>
      </c>
      <c r="E23" s="3">
        <f>SUM(B12:J12)</f>
        <v>2420925.8000000003</v>
      </c>
    </row>
    <row r="24" spans="4:6" x14ac:dyDescent="0.25">
      <c r="D24" t="s">
        <v>98</v>
      </c>
      <c r="E24" s="3">
        <f>E20-E23-E21-E22</f>
        <v>1657566.4899999998</v>
      </c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Eelarve</vt:lpstr>
      <vt:lpstr>Advokatuur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 Pihlamägi</dc:creator>
  <cp:lastModifiedBy>Helena Rentik</cp:lastModifiedBy>
  <dcterms:created xsi:type="dcterms:W3CDTF">2019-01-09T09:17:24Z</dcterms:created>
  <dcterms:modified xsi:type="dcterms:W3CDTF">2022-11-30T13:34:57Z</dcterms:modified>
</cp:coreProperties>
</file>